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 /><Relationship Id="rId2" Type="http://schemas.microsoft.com/office/2020/02/relationships/classificationlabels" Target="docMetadata/LabelInfo.xml" /><Relationship Id="rId1" Type="http://schemas.openxmlformats.org/officeDocument/2006/relationships/officeDocument" Target="xl/workbook.xml" /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1FA5828-B2CD-934B-B78F-E45D040CB96D}" xr6:coauthVersionLast="47" xr6:coauthVersionMax="47" xr10:uidLastSave="{00000000-0000-0000-0000-000000000000}"/>
  <bookViews>
    <workbookView xWindow="-110" yWindow="-110" windowWidth="19420" windowHeight="10300" firstSheet="2" activeTab="4" xr2:uid="{63EADD2A-1E1F-4295-94BB-8F12D1500F8D}"/>
  </bookViews>
  <sheets>
    <sheet name="About the hotel" sheetId="25" r:id="rId1"/>
    <sheet name="Rooms Division Income Statement" sheetId="1" r:id="rId2"/>
    <sheet name="F&amp;B Income Statement" sheetId="2" r:id="rId3"/>
    <sheet name="Vertical analysis" sheetId="7" r:id="rId4"/>
    <sheet name="5 year projections" sheetId="8" r:id="rId5"/>
    <sheet name="Vertical analysis Balance Sheet" sheetId="20" r:id="rId6"/>
    <sheet name="Loan short term" sheetId="11" r:id="rId7"/>
    <sheet name="Loan long term" sheetId="10" r:id="rId8"/>
    <sheet name="Cash Flow" sheetId="13" r:id="rId9"/>
    <sheet name="Horizontal Analysis Balance She" sheetId="22" r:id="rId10"/>
    <sheet name="Ratio" sheetId="23" r:id="rId11"/>
    <sheet name="Budget" sheetId="24" r:id="rId12"/>
    <sheet name="WACC" sheetId="18" r:id="rId13"/>
    <sheet name="References" sheetId="17" r:id="rId14"/>
  </sheets>
  <externalReferences>
    <externalReference r:id="rId15"/>
  </externalReferences>
  <definedNames>
    <definedName name="_xlnm.Print_Area" localSheetId="11">Budget!$C$1:$Q$59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8" l="1"/>
  <c r="F44" i="8"/>
  <c r="G68" i="1"/>
  <c r="D62" i="1"/>
  <c r="C24" i="20"/>
  <c r="F54" i="8"/>
  <c r="E54" i="8"/>
  <c r="F52" i="8"/>
  <c r="E52" i="8"/>
  <c r="E46" i="8"/>
  <c r="F46" i="8"/>
  <c r="B8" i="1"/>
  <c r="B9" i="1"/>
  <c r="B10" i="1"/>
  <c r="B21" i="1"/>
  <c r="C8" i="1"/>
  <c r="C9" i="1"/>
  <c r="C10" i="1"/>
  <c r="C21" i="1"/>
  <c r="D8" i="1"/>
  <c r="D9" i="1"/>
  <c r="D10" i="1"/>
  <c r="D21" i="1"/>
  <c r="E8" i="1"/>
  <c r="E9" i="1"/>
  <c r="E10" i="1"/>
  <c r="E21" i="1"/>
  <c r="F8" i="1"/>
  <c r="F9" i="1"/>
  <c r="F10" i="1"/>
  <c r="F21" i="1"/>
  <c r="G8" i="1"/>
  <c r="G9" i="1"/>
  <c r="G10" i="1"/>
  <c r="G21" i="1"/>
  <c r="H8" i="1"/>
  <c r="H9" i="1"/>
  <c r="H10" i="1"/>
  <c r="H21" i="1"/>
  <c r="I8" i="1"/>
  <c r="I9" i="1"/>
  <c r="I10" i="1"/>
  <c r="I21" i="1"/>
  <c r="J8" i="1"/>
  <c r="J9" i="1"/>
  <c r="J10" i="1"/>
  <c r="J21" i="1"/>
  <c r="K8" i="1"/>
  <c r="K9" i="1"/>
  <c r="K10" i="1"/>
  <c r="K21" i="1"/>
  <c r="L8" i="1"/>
  <c r="L9" i="1"/>
  <c r="L10" i="1"/>
  <c r="L21" i="1"/>
  <c r="M8" i="1"/>
  <c r="M9" i="1"/>
  <c r="M10" i="1"/>
  <c r="M13" i="1"/>
  <c r="M21" i="1"/>
  <c r="N21" i="1"/>
  <c r="D14" i="7"/>
  <c r="B17" i="1"/>
  <c r="B5" i="2"/>
  <c r="B6" i="2"/>
  <c r="B10" i="2"/>
  <c r="B11" i="2"/>
  <c r="B12" i="2"/>
  <c r="C17" i="1"/>
  <c r="C5" i="2"/>
  <c r="C6" i="2"/>
  <c r="C10" i="2"/>
  <c r="C11" i="2"/>
  <c r="C12" i="2"/>
  <c r="D17" i="1"/>
  <c r="D5" i="2"/>
  <c r="D6" i="2"/>
  <c r="D10" i="2"/>
  <c r="D11" i="2"/>
  <c r="D12" i="2"/>
  <c r="E17" i="1"/>
  <c r="E5" i="2"/>
  <c r="E6" i="2"/>
  <c r="E10" i="2"/>
  <c r="E11" i="2"/>
  <c r="E12" i="2"/>
  <c r="F17" i="1"/>
  <c r="F5" i="2"/>
  <c r="F6" i="2"/>
  <c r="F10" i="2"/>
  <c r="F11" i="2"/>
  <c r="F12" i="2"/>
  <c r="G17" i="1"/>
  <c r="G5" i="2"/>
  <c r="G6" i="2"/>
  <c r="G10" i="2"/>
  <c r="G11" i="2"/>
  <c r="G12" i="2"/>
  <c r="H17" i="1"/>
  <c r="H5" i="2"/>
  <c r="H6" i="2"/>
  <c r="H10" i="2"/>
  <c r="H11" i="2"/>
  <c r="H12" i="2"/>
  <c r="I17" i="1"/>
  <c r="I5" i="2"/>
  <c r="I6" i="2"/>
  <c r="I10" i="2"/>
  <c r="I11" i="2"/>
  <c r="I12" i="2"/>
  <c r="J17" i="1"/>
  <c r="J5" i="2"/>
  <c r="J6" i="2"/>
  <c r="J10" i="2"/>
  <c r="J11" i="2"/>
  <c r="J12" i="2"/>
  <c r="K17" i="1"/>
  <c r="K5" i="2"/>
  <c r="K6" i="2"/>
  <c r="K10" i="2"/>
  <c r="K11" i="2"/>
  <c r="K12" i="2"/>
  <c r="L17" i="1"/>
  <c r="L5" i="2"/>
  <c r="L6" i="2"/>
  <c r="L10" i="2"/>
  <c r="L11" i="2"/>
  <c r="L12" i="2"/>
  <c r="M17" i="1"/>
  <c r="M5" i="2"/>
  <c r="M6" i="2"/>
  <c r="M10" i="2"/>
  <c r="M11" i="2"/>
  <c r="M12" i="2"/>
  <c r="N12" i="2"/>
  <c r="N14" i="2"/>
  <c r="B7" i="2"/>
  <c r="B16" i="2"/>
  <c r="B17" i="2"/>
  <c r="B18" i="2"/>
  <c r="C7" i="2"/>
  <c r="C16" i="2"/>
  <c r="C17" i="2"/>
  <c r="C18" i="2"/>
  <c r="D7" i="2"/>
  <c r="D16" i="2"/>
  <c r="D17" i="2"/>
  <c r="D18" i="2"/>
  <c r="E7" i="2"/>
  <c r="E16" i="2"/>
  <c r="E17" i="2"/>
  <c r="E18" i="2"/>
  <c r="F7" i="2"/>
  <c r="F16" i="2"/>
  <c r="F17" i="2"/>
  <c r="F18" i="2"/>
  <c r="G7" i="2"/>
  <c r="G16" i="2"/>
  <c r="G17" i="2"/>
  <c r="G18" i="2"/>
  <c r="H7" i="2"/>
  <c r="H16" i="2"/>
  <c r="H17" i="2"/>
  <c r="H18" i="2"/>
  <c r="I7" i="2"/>
  <c r="I16" i="2"/>
  <c r="I17" i="2"/>
  <c r="I18" i="2"/>
  <c r="J7" i="2"/>
  <c r="J16" i="2"/>
  <c r="J17" i="2"/>
  <c r="J18" i="2"/>
  <c r="K7" i="2"/>
  <c r="K16" i="2"/>
  <c r="K17" i="2"/>
  <c r="K18" i="2"/>
  <c r="L7" i="2"/>
  <c r="L16" i="2"/>
  <c r="L17" i="2"/>
  <c r="L18" i="2"/>
  <c r="M7" i="2"/>
  <c r="M16" i="2"/>
  <c r="M17" i="2"/>
  <c r="M18" i="2"/>
  <c r="N18" i="2"/>
  <c r="N20" i="2"/>
  <c r="B8" i="2"/>
  <c r="B22" i="2"/>
  <c r="B23" i="2"/>
  <c r="B24" i="2"/>
  <c r="C8" i="2"/>
  <c r="C22" i="2"/>
  <c r="C23" i="2"/>
  <c r="C24" i="2"/>
  <c r="D8" i="2"/>
  <c r="D22" i="2"/>
  <c r="D23" i="2"/>
  <c r="D24" i="2"/>
  <c r="E8" i="2"/>
  <c r="E22" i="2"/>
  <c r="E23" i="2"/>
  <c r="E24" i="2"/>
  <c r="F8" i="2"/>
  <c r="F22" i="2"/>
  <c r="F23" i="2"/>
  <c r="F24" i="2"/>
  <c r="G8" i="2"/>
  <c r="G22" i="2"/>
  <c r="G23" i="2"/>
  <c r="G24" i="2"/>
  <c r="H8" i="2"/>
  <c r="H22" i="2"/>
  <c r="H23" i="2"/>
  <c r="H24" i="2"/>
  <c r="I8" i="2"/>
  <c r="I22" i="2"/>
  <c r="I23" i="2"/>
  <c r="I24" i="2"/>
  <c r="J8" i="2"/>
  <c r="J22" i="2"/>
  <c r="J23" i="2"/>
  <c r="J24" i="2"/>
  <c r="K8" i="2"/>
  <c r="K22" i="2"/>
  <c r="K23" i="2"/>
  <c r="K24" i="2"/>
  <c r="L8" i="2"/>
  <c r="L22" i="2"/>
  <c r="L23" i="2"/>
  <c r="L24" i="2"/>
  <c r="M8" i="2"/>
  <c r="M22" i="2"/>
  <c r="M23" i="2"/>
  <c r="M24" i="2"/>
  <c r="N24" i="2"/>
  <c r="N26" i="2"/>
  <c r="N31" i="2"/>
  <c r="D15" i="7"/>
  <c r="D11" i="7"/>
  <c r="D49" i="8"/>
  <c r="B20" i="2"/>
  <c r="B26" i="2"/>
  <c r="B40" i="2"/>
  <c r="C20" i="2"/>
  <c r="C26" i="2"/>
  <c r="C40" i="2"/>
  <c r="D20" i="2"/>
  <c r="D26" i="2"/>
  <c r="D40" i="2"/>
  <c r="E20" i="2"/>
  <c r="E26" i="2"/>
  <c r="E40" i="2"/>
  <c r="F20" i="2"/>
  <c r="F26" i="2"/>
  <c r="F40" i="2"/>
  <c r="G20" i="2"/>
  <c r="G26" i="2"/>
  <c r="G40" i="2"/>
  <c r="H20" i="2"/>
  <c r="H26" i="2"/>
  <c r="H40" i="2"/>
  <c r="I20" i="2"/>
  <c r="I26" i="2"/>
  <c r="I40" i="2"/>
  <c r="J20" i="2"/>
  <c r="J26" i="2"/>
  <c r="J40" i="2"/>
  <c r="K20" i="2"/>
  <c r="K26" i="2"/>
  <c r="K40" i="2"/>
  <c r="L20" i="2"/>
  <c r="L26" i="2"/>
  <c r="L40" i="2"/>
  <c r="M20" i="2"/>
  <c r="M26" i="2"/>
  <c r="M40" i="2"/>
  <c r="N40" i="2"/>
  <c r="D38" i="8"/>
  <c r="U62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D37" i="8"/>
  <c r="N11" i="2"/>
  <c r="N17" i="2"/>
  <c r="N23" i="2"/>
  <c r="N29" i="2"/>
  <c r="D30" i="8"/>
  <c r="N10" i="2"/>
  <c r="N16" i="2"/>
  <c r="N22" i="2"/>
  <c r="N28" i="2"/>
  <c r="D29" i="8"/>
  <c r="B25" i="1"/>
  <c r="J47" i="1"/>
  <c r="B26" i="1"/>
  <c r="B27" i="1"/>
  <c r="C25" i="1"/>
  <c r="C26" i="1"/>
  <c r="C27" i="1"/>
  <c r="D25" i="1"/>
  <c r="J46" i="1"/>
  <c r="D26" i="1"/>
  <c r="D27" i="1"/>
  <c r="E25" i="1"/>
  <c r="E26" i="1"/>
  <c r="E27" i="1"/>
  <c r="F25" i="1"/>
  <c r="F26" i="1"/>
  <c r="F27" i="1"/>
  <c r="G25" i="1"/>
  <c r="J45" i="1"/>
  <c r="G26" i="1"/>
  <c r="G27" i="1"/>
  <c r="H25" i="1"/>
  <c r="H26" i="1"/>
  <c r="H27" i="1"/>
  <c r="I25" i="1"/>
  <c r="I26" i="1"/>
  <c r="I27" i="1"/>
  <c r="J25" i="1"/>
  <c r="J26" i="1"/>
  <c r="J27" i="1"/>
  <c r="K25" i="1"/>
  <c r="K26" i="1"/>
  <c r="K27" i="1"/>
  <c r="L25" i="1"/>
  <c r="L26" i="1"/>
  <c r="L27" i="1"/>
  <c r="M25" i="1"/>
  <c r="M26" i="1"/>
  <c r="M27" i="1"/>
  <c r="N27" i="1"/>
  <c r="D16" i="7"/>
  <c r="D17" i="7"/>
  <c r="E42" i="7"/>
  <c r="E41" i="7"/>
  <c r="E37" i="7"/>
  <c r="E32" i="7"/>
  <c r="E31" i="7"/>
  <c r="E30" i="7"/>
  <c r="E29" i="7"/>
  <c r="E28" i="7"/>
  <c r="E17" i="7"/>
  <c r="E16" i="7"/>
  <c r="E15" i="7"/>
  <c r="E14" i="7"/>
  <c r="N18" i="1"/>
  <c r="F5" i="8"/>
  <c r="E5" i="8"/>
  <c r="D5" i="8"/>
  <c r="C51" i="1"/>
  <c r="H15" i="1"/>
  <c r="D60" i="1"/>
  <c r="Q48" i="2"/>
  <c r="D43" i="7"/>
  <c r="E43" i="7"/>
  <c r="D33" i="7"/>
  <c r="E33" i="7"/>
  <c r="A18" i="2"/>
  <c r="A24" i="2"/>
  <c r="R53" i="2"/>
  <c r="S53" i="2"/>
  <c r="D50" i="1"/>
  <c r="D51" i="1"/>
  <c r="D52" i="1"/>
  <c r="F27" i="13"/>
  <c r="F20" i="13"/>
  <c r="F37" i="13"/>
  <c r="F39" i="13"/>
  <c r="H5" i="24"/>
  <c r="K5" i="24"/>
  <c r="N5" i="24"/>
  <c r="Q5" i="24"/>
  <c r="N6" i="24"/>
  <c r="Q6" i="24"/>
  <c r="T6" i="24"/>
  <c r="W6" i="24"/>
  <c r="E8" i="24"/>
  <c r="E9" i="24"/>
  <c r="H8" i="24"/>
  <c r="K8" i="24"/>
  <c r="K9" i="24"/>
  <c r="K16" i="24"/>
  <c r="N8" i="24"/>
  <c r="N9" i="24"/>
  <c r="N16" i="24"/>
  <c r="Q8" i="24"/>
  <c r="T8" i="24"/>
  <c r="W8" i="24"/>
  <c r="Q9" i="24"/>
  <c r="T9" i="24"/>
  <c r="T16" i="24"/>
  <c r="W9" i="24"/>
  <c r="H11" i="24"/>
  <c r="H9" i="24"/>
  <c r="H12" i="24"/>
  <c r="H16" i="24"/>
  <c r="H36" i="24"/>
  <c r="I36" i="24"/>
  <c r="Q11" i="24"/>
  <c r="T11" i="24"/>
  <c r="W11" i="24"/>
  <c r="Q12" i="24"/>
  <c r="W12" i="24"/>
  <c r="Q16" i="24"/>
  <c r="R51" i="24"/>
  <c r="W16" i="24"/>
  <c r="W13" i="24"/>
  <c r="H17" i="24"/>
  <c r="K17" i="24"/>
  <c r="K18" i="24"/>
  <c r="K19" i="24"/>
  <c r="L25" i="24"/>
  <c r="N17" i="24"/>
  <c r="N18" i="24"/>
  <c r="N19" i="24"/>
  <c r="N25" i="24"/>
  <c r="O25" i="24"/>
  <c r="Q17" i="24"/>
  <c r="W17" i="24"/>
  <c r="H18" i="24"/>
  <c r="Q18" i="24"/>
  <c r="W18" i="24"/>
  <c r="H19" i="24"/>
  <c r="Q19" i="24"/>
  <c r="T19" i="24"/>
  <c r="U25" i="24"/>
  <c r="H20" i="24"/>
  <c r="K20" i="24"/>
  <c r="N20" i="24"/>
  <c r="Q20" i="24"/>
  <c r="T20" i="24"/>
  <c r="W20" i="24"/>
  <c r="H24" i="24"/>
  <c r="K24" i="24"/>
  <c r="O24" i="24"/>
  <c r="Q24" i="24"/>
  <c r="Q27" i="24"/>
  <c r="W24" i="24"/>
  <c r="X24" i="24"/>
  <c r="H25" i="24"/>
  <c r="Q25" i="24"/>
  <c r="W25" i="24"/>
  <c r="H26" i="24"/>
  <c r="L26" i="24"/>
  <c r="N26" i="24"/>
  <c r="O26" i="24"/>
  <c r="Q26" i="24"/>
  <c r="T26" i="24"/>
  <c r="U26" i="24"/>
  <c r="W26" i="24"/>
  <c r="K27" i="24"/>
  <c r="N27" i="24"/>
  <c r="E29" i="24"/>
  <c r="E38" i="24"/>
  <c r="E40" i="24"/>
  <c r="G30" i="24"/>
  <c r="H32" i="24"/>
  <c r="O32" i="24"/>
  <c r="Q32" i="24"/>
  <c r="W32" i="24"/>
  <c r="H33" i="24"/>
  <c r="Q33" i="24"/>
  <c r="R33" i="24"/>
  <c r="W33" i="24"/>
  <c r="X33" i="24"/>
  <c r="H34" i="24"/>
  <c r="Q34" i="24"/>
  <c r="W34" i="24"/>
  <c r="X34" i="24"/>
  <c r="H35" i="24"/>
  <c r="Q35" i="24"/>
  <c r="R35" i="24"/>
  <c r="W35" i="24"/>
  <c r="Q36" i="24"/>
  <c r="R36" i="24"/>
  <c r="W36" i="24"/>
  <c r="H37" i="24"/>
  <c r="Q37" i="24"/>
  <c r="R37" i="24"/>
  <c r="W37" i="24"/>
  <c r="K38" i="24"/>
  <c r="N38" i="24"/>
  <c r="T38" i="24"/>
  <c r="W38" i="24"/>
  <c r="E48" i="24"/>
  <c r="H51" i="24"/>
  <c r="H52" i="24"/>
  <c r="H53" i="24"/>
  <c r="R52" i="24"/>
  <c r="K53" i="24"/>
  <c r="N53" i="24"/>
  <c r="Q53" i="24"/>
  <c r="T53" i="24"/>
  <c r="W53" i="24"/>
  <c r="D58" i="24"/>
  <c r="E58" i="24"/>
  <c r="H58" i="24"/>
  <c r="K58" i="24"/>
  <c r="N58" i="24"/>
  <c r="Q58" i="24"/>
  <c r="T61" i="24"/>
  <c r="D62" i="24"/>
  <c r="D64" i="24"/>
  <c r="E64" i="24"/>
  <c r="H64" i="24"/>
  <c r="K64" i="24"/>
  <c r="N64" i="24"/>
  <c r="Q64" i="24"/>
  <c r="I24" i="24"/>
  <c r="R18" i="24"/>
  <c r="W19" i="24"/>
  <c r="I51" i="24"/>
  <c r="E51" i="24"/>
  <c r="E53" i="24"/>
  <c r="E55" i="24"/>
  <c r="G55" i="24"/>
  <c r="T27" i="24"/>
  <c r="R25" i="24"/>
  <c r="Q21" i="24"/>
  <c r="S46" i="24"/>
  <c r="I18" i="24"/>
  <c r="T13" i="24"/>
  <c r="U52" i="24"/>
  <c r="U32" i="24"/>
  <c r="U36" i="24"/>
  <c r="U18" i="24"/>
  <c r="T21" i="24"/>
  <c r="U35" i="24"/>
  <c r="U17" i="24"/>
  <c r="U34" i="24"/>
  <c r="U51" i="24"/>
  <c r="U24" i="24"/>
  <c r="U33" i="24"/>
  <c r="U37" i="24"/>
  <c r="Q13" i="24"/>
  <c r="X51" i="24"/>
  <c r="V26" i="24"/>
  <c r="X35" i="24"/>
  <c r="R26" i="24"/>
  <c r="X32" i="24"/>
  <c r="I25" i="24"/>
  <c r="R17" i="24"/>
  <c r="R19" i="24"/>
  <c r="X18" i="24"/>
  <c r="X36" i="24"/>
  <c r="X52" i="24"/>
  <c r="X37" i="24"/>
  <c r="R32" i="24"/>
  <c r="I26" i="24"/>
  <c r="U20" i="24"/>
  <c r="R20" i="24"/>
  <c r="S51" i="24"/>
  <c r="S37" i="24"/>
  <c r="S44" i="24"/>
  <c r="S43" i="24"/>
  <c r="S47" i="24"/>
  <c r="S16" i="24"/>
  <c r="Q29" i="24"/>
  <c r="S52" i="24"/>
  <c r="S18" i="24"/>
  <c r="S45" i="24"/>
  <c r="S19" i="24"/>
  <c r="S21" i="24"/>
  <c r="I47" i="24"/>
  <c r="I34" i="24"/>
  <c r="I37" i="24"/>
  <c r="I43" i="24"/>
  <c r="I52" i="24"/>
  <c r="I19" i="24"/>
  <c r="I44" i="24"/>
  <c r="I46" i="24"/>
  <c r="I45" i="24"/>
  <c r="I32" i="24"/>
  <c r="I20" i="24"/>
  <c r="H13" i="24"/>
  <c r="H21" i="24"/>
  <c r="J51" i="24"/>
  <c r="O51" i="24"/>
  <c r="O46" i="24"/>
  <c r="N21" i="24"/>
  <c r="P38" i="24"/>
  <c r="O20" i="24"/>
  <c r="O37" i="24"/>
  <c r="O43" i="24"/>
  <c r="O45" i="24"/>
  <c r="O47" i="24"/>
  <c r="O52" i="24"/>
  <c r="O33" i="24"/>
  <c r="O36" i="24"/>
  <c r="O35" i="24"/>
  <c r="O34" i="24"/>
  <c r="O44" i="24"/>
  <c r="N13" i="24"/>
  <c r="O18" i="24"/>
  <c r="X19" i="24"/>
  <c r="S33" i="24"/>
  <c r="R34" i="24"/>
  <c r="S34" i="24"/>
  <c r="Q38" i="24"/>
  <c r="K21" i="24"/>
  <c r="M27" i="24"/>
  <c r="I33" i="24"/>
  <c r="X26" i="24"/>
  <c r="W27" i="24"/>
  <c r="X25" i="24"/>
  <c r="O17" i="24"/>
  <c r="S36" i="24"/>
  <c r="I35" i="24"/>
  <c r="H38" i="24"/>
  <c r="P26" i="24"/>
  <c r="L37" i="24"/>
  <c r="L43" i="24"/>
  <c r="X43" i="24"/>
  <c r="R44" i="24"/>
  <c r="L45" i="24"/>
  <c r="X45" i="24"/>
  <c r="R46" i="24"/>
  <c r="L47" i="24"/>
  <c r="X47" i="24"/>
  <c r="L52" i="24"/>
  <c r="R45" i="24"/>
  <c r="U43" i="24"/>
  <c r="L36" i="24"/>
  <c r="L33" i="24"/>
  <c r="X44" i="24"/>
  <c r="X46" i="24"/>
  <c r="U45" i="24"/>
  <c r="U47" i="24"/>
  <c r="L35" i="24"/>
  <c r="U44" i="24"/>
  <c r="U46" i="24"/>
  <c r="L44" i="24"/>
  <c r="R47" i="24"/>
  <c r="L24" i="24"/>
  <c r="L17" i="24"/>
  <c r="L34" i="24"/>
  <c r="L51" i="24"/>
  <c r="R43" i="24"/>
  <c r="L46" i="24"/>
  <c r="L32" i="24"/>
  <c r="L18" i="24"/>
  <c r="L19" i="24"/>
  <c r="K13" i="24"/>
  <c r="M16" i="24"/>
  <c r="L20" i="24"/>
  <c r="M20" i="24"/>
  <c r="M38" i="24"/>
  <c r="W21" i="24"/>
  <c r="Y32" i="24"/>
  <c r="S53" i="24"/>
  <c r="S35" i="24"/>
  <c r="S27" i="24"/>
  <c r="O19" i="24"/>
  <c r="P18" i="24"/>
  <c r="I17" i="24"/>
  <c r="U19" i="24"/>
  <c r="X17" i="24"/>
  <c r="V18" i="24"/>
  <c r="V34" i="24"/>
  <c r="S26" i="24"/>
  <c r="S25" i="24"/>
  <c r="S24" i="24"/>
  <c r="X20" i="24"/>
  <c r="V32" i="24"/>
  <c r="V51" i="24"/>
  <c r="H27" i="24"/>
  <c r="R24" i="24"/>
  <c r="V20" i="24"/>
  <c r="P19" i="24"/>
  <c r="V24" i="24"/>
  <c r="J26" i="24"/>
  <c r="S30" i="24"/>
  <c r="S20" i="24"/>
  <c r="S32" i="24"/>
  <c r="S17" i="24"/>
  <c r="V27" i="24"/>
  <c r="V44" i="24"/>
  <c r="V33" i="24"/>
  <c r="V30" i="24"/>
  <c r="V47" i="24"/>
  <c r="T29" i="24"/>
  <c r="V52" i="24"/>
  <c r="V43" i="24"/>
  <c r="V45" i="24"/>
  <c r="V38" i="24"/>
  <c r="V21" i="24"/>
  <c r="V19" i="24"/>
  <c r="V16" i="24"/>
  <c r="V36" i="24"/>
  <c r="V46" i="24"/>
  <c r="V25" i="24"/>
  <c r="V37" i="24"/>
  <c r="V35" i="24"/>
  <c r="J25" i="24"/>
  <c r="V53" i="24"/>
  <c r="V17" i="24"/>
  <c r="Y25" i="24"/>
  <c r="Y26" i="24"/>
  <c r="Y18" i="24"/>
  <c r="J32" i="24"/>
  <c r="J18" i="24"/>
  <c r="J44" i="24"/>
  <c r="J46" i="24"/>
  <c r="J19" i="24"/>
  <c r="J33" i="24"/>
  <c r="J30" i="24"/>
  <c r="J20" i="24"/>
  <c r="J21" i="24"/>
  <c r="H29" i="24"/>
  <c r="J47" i="24"/>
  <c r="J43" i="24"/>
  <c r="J52" i="24"/>
  <c r="J45" i="24"/>
  <c r="J37" i="24"/>
  <c r="J17" i="24"/>
  <c r="Y16" i="24"/>
  <c r="J34" i="24"/>
  <c r="J36" i="24"/>
  <c r="J35" i="24"/>
  <c r="Y24" i="24"/>
  <c r="S38" i="24"/>
  <c r="Y19" i="24"/>
  <c r="J16" i="24"/>
  <c r="P24" i="24"/>
  <c r="P32" i="24"/>
  <c r="P35" i="24"/>
  <c r="P36" i="24"/>
  <c r="P30" i="24"/>
  <c r="P34" i="24"/>
  <c r="P21" i="24"/>
  <c r="P47" i="24"/>
  <c r="P20" i="24"/>
  <c r="N29" i="24"/>
  <c r="P37" i="24"/>
  <c r="P43" i="24"/>
  <c r="P45" i="24"/>
  <c r="P52" i="24"/>
  <c r="P51" i="24"/>
  <c r="P17" i="24"/>
  <c r="P44" i="24"/>
  <c r="P33" i="24"/>
  <c r="P27" i="24"/>
  <c r="P46" i="24"/>
  <c r="J53" i="24"/>
  <c r="J38" i="24"/>
  <c r="P53" i="24"/>
  <c r="P25" i="24"/>
  <c r="Q40" i="24"/>
  <c r="Q82" i="24"/>
  <c r="S29" i="24"/>
  <c r="Q81" i="24"/>
  <c r="Y21" i="24"/>
  <c r="Y46" i="24"/>
  <c r="W29" i="24"/>
  <c r="Y30" i="24"/>
  <c r="Y43" i="24"/>
  <c r="Y45" i="24"/>
  <c r="Y47" i="24"/>
  <c r="Y52" i="24"/>
  <c r="Y35" i="24"/>
  <c r="Y53" i="24"/>
  <c r="Y44" i="24"/>
  <c r="Y34" i="24"/>
  <c r="Y37" i="24"/>
  <c r="Y36" i="24"/>
  <c r="Y51" i="24"/>
  <c r="Y20" i="24"/>
  <c r="Y17" i="24"/>
  <c r="Y33" i="24"/>
  <c r="J27" i="24"/>
  <c r="J24" i="24"/>
  <c r="M21" i="24"/>
  <c r="M33" i="24"/>
  <c r="M44" i="24"/>
  <c r="M53" i="24"/>
  <c r="K29" i="24"/>
  <c r="M37" i="24"/>
  <c r="M43" i="24"/>
  <c r="M45" i="24"/>
  <c r="M47" i="24"/>
  <c r="M52" i="24"/>
  <c r="M51" i="24"/>
  <c r="M25" i="24"/>
  <c r="M30" i="24"/>
  <c r="M46" i="24"/>
  <c r="M36" i="24"/>
  <c r="M26" i="24"/>
  <c r="M32" i="24"/>
  <c r="M35" i="24"/>
  <c r="M34" i="24"/>
  <c r="M17" i="24"/>
  <c r="M18" i="24"/>
  <c r="M19" i="24"/>
  <c r="M24" i="24"/>
  <c r="Y27" i="24"/>
  <c r="P16" i="24"/>
  <c r="Y38" i="24"/>
  <c r="Q80" i="24"/>
  <c r="V29" i="24"/>
  <c r="T40" i="24"/>
  <c r="W40" i="24"/>
  <c r="Y29" i="24"/>
  <c r="J29" i="24"/>
  <c r="H40" i="24"/>
  <c r="E82" i="24"/>
  <c r="S40" i="24"/>
  <c r="Q48" i="24"/>
  <c r="K40" i="24"/>
  <c r="M29" i="24"/>
  <c r="P29" i="24"/>
  <c r="N40" i="24"/>
  <c r="T48" i="24"/>
  <c r="V40" i="24"/>
  <c r="P40" i="24"/>
  <c r="N48" i="24"/>
  <c r="S48" i="24"/>
  <c r="Q55" i="24"/>
  <c r="M40" i="24"/>
  <c r="K48" i="24"/>
  <c r="N82" i="24"/>
  <c r="N81" i="24"/>
  <c r="N80" i="24"/>
  <c r="J40" i="24"/>
  <c r="H48" i="24"/>
  <c r="K82" i="24"/>
  <c r="E80" i="24"/>
  <c r="E81" i="24"/>
  <c r="K80" i="24"/>
  <c r="H81" i="24"/>
  <c r="H80" i="24"/>
  <c r="K81" i="24"/>
  <c r="H82" i="24"/>
  <c r="Y40" i="24"/>
  <c r="W48" i="24"/>
  <c r="V48" i="24"/>
  <c r="T55" i="24"/>
  <c r="Y48" i="24"/>
  <c r="W55" i="24"/>
  <c r="Y55" i="24"/>
  <c r="M48" i="24"/>
  <c r="K55" i="24"/>
  <c r="H55" i="24"/>
  <c r="J48" i="24"/>
  <c r="S55" i="24"/>
  <c r="N60" i="24"/>
  <c r="N62" i="24"/>
  <c r="N65" i="24"/>
  <c r="D70" i="24"/>
  <c r="P48" i="24"/>
  <c r="N55" i="24"/>
  <c r="Q60" i="24"/>
  <c r="Q62" i="24"/>
  <c r="Q65" i="24"/>
  <c r="D71" i="24"/>
  <c r="V55" i="24"/>
  <c r="J55" i="24"/>
  <c r="E60" i="24"/>
  <c r="M55" i="24"/>
  <c r="H60" i="24"/>
  <c r="H62" i="24"/>
  <c r="H65" i="24"/>
  <c r="D68" i="24"/>
  <c r="K60" i="24"/>
  <c r="K62" i="24"/>
  <c r="K65" i="24"/>
  <c r="D69" i="24"/>
  <c r="P55" i="24"/>
  <c r="T60" i="24"/>
  <c r="W64" i="24"/>
  <c r="E62" i="24"/>
  <c r="T62" i="24"/>
  <c r="W63" i="24"/>
  <c r="W66" i="24"/>
  <c r="W62" i="24"/>
  <c r="E65" i="24"/>
  <c r="D67" i="24"/>
  <c r="D73" i="24"/>
  <c r="D74" i="24"/>
  <c r="D76" i="24"/>
  <c r="M6" i="22"/>
  <c r="M11" i="22"/>
  <c r="M17" i="22"/>
  <c r="C17" i="23"/>
  <c r="E53" i="8"/>
  <c r="F53" i="8"/>
  <c r="G17" i="20"/>
  <c r="I17" i="20"/>
  <c r="E4" i="22"/>
  <c r="F4" i="22"/>
  <c r="G4" i="22"/>
  <c r="H4" i="22"/>
  <c r="I4" i="22"/>
  <c r="J4" i="22"/>
  <c r="O4" i="22"/>
  <c r="P4" i="22"/>
  <c r="Q4" i="22"/>
  <c r="R4" i="22"/>
  <c r="S4" i="22"/>
  <c r="T4" i="22"/>
  <c r="E5" i="22"/>
  <c r="F5" i="22"/>
  <c r="G5" i="22"/>
  <c r="H5" i="22"/>
  <c r="I5" i="22"/>
  <c r="J5" i="22"/>
  <c r="O5" i="22"/>
  <c r="P5" i="22"/>
  <c r="Q5" i="22"/>
  <c r="R5" i="22"/>
  <c r="S5" i="22"/>
  <c r="T5" i="22"/>
  <c r="E6" i="22"/>
  <c r="F6" i="22"/>
  <c r="G6" i="22"/>
  <c r="H6" i="22"/>
  <c r="I6" i="22"/>
  <c r="J6" i="22"/>
  <c r="O6" i="22"/>
  <c r="P6" i="22"/>
  <c r="N6" i="22"/>
  <c r="Q6" i="22"/>
  <c r="R6" i="22"/>
  <c r="E7" i="22"/>
  <c r="F7" i="22"/>
  <c r="G7" i="22"/>
  <c r="H7" i="22"/>
  <c r="I7" i="22"/>
  <c r="J7" i="22"/>
  <c r="O7" i="22"/>
  <c r="P7" i="22"/>
  <c r="Q7" i="22"/>
  <c r="R7" i="22"/>
  <c r="S7" i="22"/>
  <c r="T7" i="22"/>
  <c r="E8" i="22"/>
  <c r="F8" i="22"/>
  <c r="G8" i="22"/>
  <c r="H8" i="22"/>
  <c r="I8" i="22"/>
  <c r="J8" i="22"/>
  <c r="C9" i="22"/>
  <c r="D9" i="22"/>
  <c r="B11" i="22"/>
  <c r="B24" i="22"/>
  <c r="B29" i="22"/>
  <c r="L11" i="22"/>
  <c r="N11" i="22"/>
  <c r="Q11" i="22"/>
  <c r="R11" i="22"/>
  <c r="C14" i="22"/>
  <c r="D14" i="22"/>
  <c r="O14" i="22"/>
  <c r="P14" i="22"/>
  <c r="Q14" i="22"/>
  <c r="R14" i="22"/>
  <c r="S14" i="22"/>
  <c r="T14" i="22"/>
  <c r="C15" i="22"/>
  <c r="D15" i="22"/>
  <c r="E15" i="22"/>
  <c r="F15" i="22"/>
  <c r="O15" i="22"/>
  <c r="P15" i="22"/>
  <c r="Q15" i="22"/>
  <c r="R15" i="22"/>
  <c r="S15" i="22"/>
  <c r="T15" i="22"/>
  <c r="C16" i="22"/>
  <c r="D16" i="22"/>
  <c r="E16" i="22"/>
  <c r="F16" i="22"/>
  <c r="C17" i="22"/>
  <c r="D17" i="22"/>
  <c r="E17" i="22"/>
  <c r="F17" i="22"/>
  <c r="L17" i="22"/>
  <c r="N17" i="22"/>
  <c r="C18" i="22"/>
  <c r="E18" i="22"/>
  <c r="F18" i="22"/>
  <c r="D18" i="22"/>
  <c r="G18" i="22"/>
  <c r="H18" i="22"/>
  <c r="C19" i="22"/>
  <c r="E19" i="22"/>
  <c r="F19" i="22"/>
  <c r="D19" i="22"/>
  <c r="G19" i="22"/>
  <c r="H19" i="22"/>
  <c r="C20" i="22"/>
  <c r="E20" i="22"/>
  <c r="F20" i="22"/>
  <c r="D20" i="22"/>
  <c r="G20" i="22"/>
  <c r="H20" i="22"/>
  <c r="E21" i="22"/>
  <c r="F21" i="22"/>
  <c r="G21" i="22"/>
  <c r="H21" i="22"/>
  <c r="I21" i="22"/>
  <c r="J21" i="22"/>
  <c r="C22" i="22"/>
  <c r="D22" i="22"/>
  <c r="O24" i="22"/>
  <c r="P24" i="22"/>
  <c r="Q24" i="22"/>
  <c r="R24" i="22"/>
  <c r="S24" i="22"/>
  <c r="T24" i="22"/>
  <c r="L27" i="22"/>
  <c r="M27" i="22"/>
  <c r="O27" i="22"/>
  <c r="P27" i="22"/>
  <c r="N27" i="22"/>
  <c r="C10" i="20"/>
  <c r="G10" i="20"/>
  <c r="E24" i="20"/>
  <c r="G27" i="20"/>
  <c r="I24" i="20"/>
  <c r="I27" i="20"/>
  <c r="B17" i="23"/>
  <c r="B16" i="23"/>
  <c r="I10" i="20"/>
  <c r="E10" i="20"/>
  <c r="C29" i="20"/>
  <c r="B15" i="23"/>
  <c r="L29" i="22"/>
  <c r="D17" i="23"/>
  <c r="S11" i="22"/>
  <c r="T11" i="22"/>
  <c r="C11" i="22"/>
  <c r="S6" i="22"/>
  <c r="T6" i="22"/>
  <c r="S27" i="22"/>
  <c r="T27" i="22"/>
  <c r="O11" i="22"/>
  <c r="P11" i="22"/>
  <c r="O17" i="22"/>
  <c r="P17" i="22"/>
  <c r="N29" i="22"/>
  <c r="Q27" i="22"/>
  <c r="R27" i="22"/>
  <c r="Q17" i="22"/>
  <c r="R17" i="22"/>
  <c r="D11" i="22"/>
  <c r="G9" i="22"/>
  <c r="H9" i="22"/>
  <c r="I9" i="22"/>
  <c r="J9" i="22"/>
  <c r="I14" i="22"/>
  <c r="J14" i="22"/>
  <c r="G14" i="22"/>
  <c r="H14" i="22"/>
  <c r="D24" i="22"/>
  <c r="G17" i="22"/>
  <c r="H17" i="22"/>
  <c r="I17" i="22"/>
  <c r="J17" i="22"/>
  <c r="G15" i="22"/>
  <c r="H15" i="22"/>
  <c r="I15" i="22"/>
  <c r="J15" i="22"/>
  <c r="G22" i="22"/>
  <c r="H22" i="22"/>
  <c r="I22" i="22"/>
  <c r="J22" i="22"/>
  <c r="I16" i="22"/>
  <c r="J16" i="22"/>
  <c r="G16" i="22"/>
  <c r="H16" i="22"/>
  <c r="E22" i="22"/>
  <c r="F22" i="22"/>
  <c r="C24" i="22"/>
  <c r="M29" i="22"/>
  <c r="O29" i="22"/>
  <c r="P29" i="22"/>
  <c r="S29" i="22"/>
  <c r="T29" i="22"/>
  <c r="I19" i="22"/>
  <c r="J19" i="22"/>
  <c r="S17" i="22"/>
  <c r="T17" i="22"/>
  <c r="G29" i="20"/>
  <c r="H10" i="20"/>
  <c r="E14" i="22"/>
  <c r="F14" i="22"/>
  <c r="I20" i="22"/>
  <c r="J20" i="22"/>
  <c r="I18" i="22"/>
  <c r="J18" i="22"/>
  <c r="E9" i="22"/>
  <c r="F9" i="22"/>
  <c r="E14" i="20"/>
  <c r="E15" i="20"/>
  <c r="E16" i="20"/>
  <c r="E17" i="20"/>
  <c r="E18" i="20"/>
  <c r="E19" i="20"/>
  <c r="E20" i="20"/>
  <c r="E21" i="20"/>
  <c r="I13" i="20"/>
  <c r="I14" i="20"/>
  <c r="I4" i="20"/>
  <c r="I5" i="20"/>
  <c r="I6" i="20"/>
  <c r="I7" i="20"/>
  <c r="E4" i="20"/>
  <c r="E5" i="20"/>
  <c r="E6" i="20"/>
  <c r="E7" i="20"/>
  <c r="E8" i="20"/>
  <c r="E9" i="20"/>
  <c r="D10" i="20"/>
  <c r="L34" i="20"/>
  <c r="D20" i="20"/>
  <c r="D17" i="20"/>
  <c r="D16" i="20"/>
  <c r="D6" i="20"/>
  <c r="D7" i="20"/>
  <c r="D21" i="20"/>
  <c r="E29" i="20"/>
  <c r="D29" i="20"/>
  <c r="B21" i="23"/>
  <c r="D19" i="20"/>
  <c r="D15" i="20"/>
  <c r="D9" i="20"/>
  <c r="D5" i="20"/>
  <c r="D24" i="20"/>
  <c r="L35" i="20"/>
  <c r="D18" i="20"/>
  <c r="D14" i="20"/>
  <c r="D8" i="20"/>
  <c r="D4" i="20"/>
  <c r="E11" i="22"/>
  <c r="F11" i="22"/>
  <c r="C16" i="23"/>
  <c r="C15" i="23"/>
  <c r="D16" i="23"/>
  <c r="D15" i="23"/>
  <c r="Q29" i="22"/>
  <c r="R29" i="22"/>
  <c r="H13" i="20"/>
  <c r="H7" i="20"/>
  <c r="V44" i="20"/>
  <c r="H29" i="20"/>
  <c r="V43" i="20"/>
  <c r="I29" i="20"/>
  <c r="D29" i="22"/>
  <c r="D21" i="23"/>
  <c r="G24" i="22"/>
  <c r="H24" i="22"/>
  <c r="I24" i="22"/>
  <c r="J24" i="22"/>
  <c r="H6" i="20"/>
  <c r="H27" i="20"/>
  <c r="AG12" i="20"/>
  <c r="H5" i="20"/>
  <c r="H24" i="20"/>
  <c r="H4" i="20"/>
  <c r="H17" i="20"/>
  <c r="V53" i="20"/>
  <c r="H14" i="20"/>
  <c r="E24" i="22"/>
  <c r="F24" i="22"/>
  <c r="C29" i="22"/>
  <c r="G11" i="22"/>
  <c r="H11" i="22"/>
  <c r="I11" i="22"/>
  <c r="J11" i="22"/>
  <c r="V24" i="20"/>
  <c r="V52" i="20"/>
  <c r="V42" i="20"/>
  <c r="L37" i="20"/>
  <c r="E29" i="22"/>
  <c r="F29" i="22"/>
  <c r="C21" i="23"/>
  <c r="G29" i="22"/>
  <c r="H29" i="22"/>
  <c r="I29" i="22"/>
  <c r="J29" i="22"/>
  <c r="G7" i="18"/>
  <c r="G6" i="18"/>
  <c r="D7" i="18"/>
  <c r="D6" i="18"/>
  <c r="C6" i="18"/>
  <c r="C5" i="18"/>
  <c r="F41" i="13"/>
  <c r="I44" i="8"/>
  <c r="J44" i="8"/>
  <c r="G44" i="8"/>
  <c r="H44" i="8"/>
  <c r="D31" i="8"/>
  <c r="D32" i="8"/>
  <c r="E38" i="8"/>
  <c r="F38" i="8"/>
  <c r="I38" i="8"/>
  <c r="J38" i="8"/>
  <c r="E37" i="8"/>
  <c r="E60" i="1"/>
  <c r="B28" i="1"/>
  <c r="E62" i="1"/>
  <c r="D11" i="11"/>
  <c r="D15" i="11"/>
  <c r="G11" i="10"/>
  <c r="G15" i="10"/>
  <c r="G17" i="10"/>
  <c r="G16" i="10"/>
  <c r="G18" i="10"/>
  <c r="I54" i="8"/>
  <c r="J54" i="8"/>
  <c r="E45" i="8"/>
  <c r="E47" i="8"/>
  <c r="E48" i="8"/>
  <c r="I53" i="8"/>
  <c r="J53" i="8"/>
  <c r="E59" i="8"/>
  <c r="F59" i="8"/>
  <c r="I59" i="8"/>
  <c r="J59" i="8"/>
  <c r="R51" i="2"/>
  <c r="S51" i="2"/>
  <c r="R45" i="2"/>
  <c r="S45" i="2"/>
  <c r="R46" i="2"/>
  <c r="S46" i="2"/>
  <c r="E49" i="8"/>
  <c r="D17" i="11"/>
  <c r="E15" i="11"/>
  <c r="E16" i="11"/>
  <c r="D16" i="11"/>
  <c r="C7" i="18"/>
  <c r="H15" i="10"/>
  <c r="H17" i="10"/>
  <c r="I15" i="10"/>
  <c r="F48" i="8"/>
  <c r="F47" i="8"/>
  <c r="F45" i="8"/>
  <c r="F49" i="8"/>
  <c r="E30" i="8"/>
  <c r="F30" i="8"/>
  <c r="G54" i="8"/>
  <c r="H54" i="8"/>
  <c r="G47" i="8"/>
  <c r="H47" i="8"/>
  <c r="G59" i="8"/>
  <c r="H59" i="8"/>
  <c r="G46" i="8"/>
  <c r="H46" i="8"/>
  <c r="G38" i="8"/>
  <c r="H38" i="8"/>
  <c r="E29" i="8"/>
  <c r="G30" i="8"/>
  <c r="H30" i="8"/>
  <c r="F37" i="8"/>
  <c r="I37" i="8"/>
  <c r="J37" i="8"/>
  <c r="G37" i="8"/>
  <c r="H37" i="8"/>
  <c r="G53" i="8"/>
  <c r="H53" i="8"/>
  <c r="G48" i="8"/>
  <c r="H48" i="8"/>
  <c r="G45" i="8"/>
  <c r="H45" i="8"/>
  <c r="M15" i="1"/>
  <c r="L15" i="1"/>
  <c r="K15" i="1"/>
  <c r="I15" i="1"/>
  <c r="J15" i="1"/>
  <c r="G15" i="1"/>
  <c r="F15" i="1"/>
  <c r="E15" i="1"/>
  <c r="D15" i="1"/>
  <c r="C15" i="1"/>
  <c r="B15" i="1"/>
  <c r="B11" i="1"/>
  <c r="N29" i="1"/>
  <c r="G49" i="8"/>
  <c r="H49" i="8"/>
  <c r="I49" i="8"/>
  <c r="J49" i="8"/>
  <c r="D18" i="11"/>
  <c r="H16" i="10"/>
  <c r="D58" i="8"/>
  <c r="C8" i="18"/>
  <c r="E7" i="18"/>
  <c r="F7" i="18"/>
  <c r="H7" i="18"/>
  <c r="E17" i="11"/>
  <c r="F15" i="11"/>
  <c r="F17" i="11"/>
  <c r="G15" i="11"/>
  <c r="I30" i="8"/>
  <c r="J30" i="8"/>
  <c r="I46" i="8"/>
  <c r="J46" i="8"/>
  <c r="I45" i="8"/>
  <c r="J45" i="8"/>
  <c r="I47" i="8"/>
  <c r="J47" i="8"/>
  <c r="I48" i="8"/>
  <c r="J48" i="8"/>
  <c r="E31" i="8"/>
  <c r="E32" i="8"/>
  <c r="I17" i="10"/>
  <c r="J15" i="10"/>
  <c r="I16" i="10"/>
  <c r="H18" i="10"/>
  <c r="F29" i="8"/>
  <c r="G29" i="8"/>
  <c r="H29" i="8"/>
  <c r="F16" i="11"/>
  <c r="E18" i="11"/>
  <c r="E6" i="18"/>
  <c r="F6" i="18"/>
  <c r="H6" i="18"/>
  <c r="E5" i="18"/>
  <c r="F5" i="18"/>
  <c r="H5" i="18"/>
  <c r="H8" i="18"/>
  <c r="I29" i="8"/>
  <c r="J29" i="8"/>
  <c r="F31" i="8"/>
  <c r="G31" i="8"/>
  <c r="H31" i="8"/>
  <c r="G17" i="11"/>
  <c r="H15" i="11"/>
  <c r="G16" i="11"/>
  <c r="F18" i="11"/>
  <c r="J17" i="10"/>
  <c r="K15" i="10"/>
  <c r="J16" i="10"/>
  <c r="I18" i="10"/>
  <c r="G32" i="8"/>
  <c r="H32" i="8"/>
  <c r="G18" i="11"/>
  <c r="I31" i="8"/>
  <c r="J31" i="8"/>
  <c r="F32" i="8"/>
  <c r="I32" i="8"/>
  <c r="J32" i="8"/>
  <c r="H17" i="11"/>
  <c r="I15" i="11"/>
  <c r="H16" i="11"/>
  <c r="K16" i="10"/>
  <c r="K17" i="10"/>
  <c r="L15" i="10"/>
  <c r="J18" i="10"/>
  <c r="K18" i="10"/>
  <c r="E58" i="8"/>
  <c r="H18" i="11"/>
  <c r="I17" i="11"/>
  <c r="I16" i="11"/>
  <c r="L17" i="10"/>
  <c r="M15" i="10"/>
  <c r="L16" i="10"/>
  <c r="I18" i="11"/>
  <c r="M17" i="10"/>
  <c r="M16" i="10"/>
  <c r="L18" i="10"/>
  <c r="M18" i="10"/>
  <c r="F58" i="8"/>
  <c r="I58" i="8"/>
  <c r="J58" i="8"/>
  <c r="R54" i="2"/>
  <c r="S54" i="2"/>
  <c r="R52" i="2"/>
  <c r="S52" i="2"/>
  <c r="B35" i="1"/>
  <c r="B16" i="1"/>
  <c r="B34" i="1"/>
  <c r="B32" i="1"/>
  <c r="R47" i="2"/>
  <c r="S47" i="2"/>
  <c r="R48" i="2"/>
  <c r="S48" i="2"/>
  <c r="R49" i="2"/>
  <c r="S49" i="2"/>
  <c r="R50" i="2"/>
  <c r="S50" i="2"/>
  <c r="E35" i="1"/>
  <c r="H35" i="1"/>
  <c r="M35" i="1"/>
  <c r="C11" i="1"/>
  <c r="C20" i="1"/>
  <c r="D11" i="1"/>
  <c r="D20" i="1"/>
  <c r="E11" i="1"/>
  <c r="E20" i="1"/>
  <c r="F11" i="1"/>
  <c r="F20" i="1"/>
  <c r="G11" i="1"/>
  <c r="G20" i="1"/>
  <c r="H11" i="1"/>
  <c r="H20" i="1"/>
  <c r="I11" i="1"/>
  <c r="I20" i="1"/>
  <c r="J11" i="1"/>
  <c r="J20" i="1"/>
  <c r="K11" i="1"/>
  <c r="K20" i="1"/>
  <c r="L11" i="1"/>
  <c r="L20" i="1"/>
  <c r="M11" i="1"/>
  <c r="M20" i="1"/>
  <c r="E33" i="1"/>
  <c r="F16" i="1"/>
  <c r="F35" i="1"/>
  <c r="L32" i="1"/>
  <c r="L35" i="1"/>
  <c r="D32" i="1"/>
  <c r="D35" i="1"/>
  <c r="K35" i="1"/>
  <c r="G16" i="1"/>
  <c r="G35" i="1"/>
  <c r="R55" i="2"/>
  <c r="S55" i="2"/>
  <c r="I35" i="2"/>
  <c r="E16" i="1"/>
  <c r="M16" i="1"/>
  <c r="H32" i="1"/>
  <c r="D53" i="1"/>
  <c r="E52" i="1"/>
  <c r="H33" i="1"/>
  <c r="L28" i="1"/>
  <c r="K12" i="1"/>
  <c r="D33" i="1"/>
  <c r="L33" i="1"/>
  <c r="G32" i="1"/>
  <c r="K33" i="1"/>
  <c r="G33" i="1"/>
  <c r="C33" i="1"/>
  <c r="B33" i="1"/>
  <c r="J33" i="1"/>
  <c r="F33" i="1"/>
  <c r="K32" i="1"/>
  <c r="M33" i="1"/>
  <c r="I33" i="1"/>
  <c r="F36" i="1"/>
  <c r="F34" i="1"/>
  <c r="I51" i="1"/>
  <c r="F32" i="1"/>
  <c r="M36" i="1"/>
  <c r="M34" i="1"/>
  <c r="E34" i="1"/>
  <c r="L36" i="1"/>
  <c r="H36" i="1"/>
  <c r="D36" i="1"/>
  <c r="E36" i="1"/>
  <c r="M32" i="1"/>
  <c r="E32" i="1"/>
  <c r="L34" i="1"/>
  <c r="H34" i="1"/>
  <c r="D34" i="1"/>
  <c r="K36" i="1"/>
  <c r="G36" i="1"/>
  <c r="K34" i="1"/>
  <c r="G34" i="1"/>
  <c r="E28" i="1"/>
  <c r="I28" i="1"/>
  <c r="M28" i="1"/>
  <c r="F28" i="1"/>
  <c r="J28" i="1"/>
  <c r="C28" i="1"/>
  <c r="G28" i="1"/>
  <c r="K28" i="1"/>
  <c r="D28" i="1"/>
  <c r="H28" i="1"/>
  <c r="H16" i="1"/>
  <c r="D16" i="1"/>
  <c r="L16" i="1"/>
  <c r="J35" i="1"/>
  <c r="I35" i="1"/>
  <c r="K16" i="1"/>
  <c r="C35" i="1"/>
  <c r="N35" i="1"/>
  <c r="C16" i="1"/>
  <c r="M14" i="1"/>
  <c r="I52" i="1"/>
  <c r="N10" i="1"/>
  <c r="C36" i="1"/>
  <c r="C32" i="1"/>
  <c r="C34" i="1"/>
  <c r="C14" i="1"/>
  <c r="F19" i="1"/>
  <c r="E19" i="1"/>
  <c r="N28" i="1"/>
  <c r="G19" i="1"/>
  <c r="D19" i="1"/>
  <c r="G35" i="2"/>
  <c r="B35" i="2"/>
  <c r="D35" i="2"/>
  <c r="M35" i="2"/>
  <c r="H35" i="2"/>
  <c r="J35" i="2"/>
  <c r="K35" i="2"/>
  <c r="E35" i="2"/>
  <c r="C35" i="2"/>
  <c r="L35" i="2"/>
  <c r="F35" i="2"/>
  <c r="N33" i="1"/>
  <c r="D22" i="8"/>
  <c r="E51" i="1"/>
  <c r="E50" i="1"/>
  <c r="L14" i="1"/>
  <c r="G12" i="1"/>
  <c r="D12" i="1"/>
  <c r="L12" i="1"/>
  <c r="M12" i="1"/>
  <c r="H12" i="1"/>
  <c r="F12" i="1"/>
  <c r="E12" i="1"/>
  <c r="L37" i="1"/>
  <c r="K19" i="2"/>
  <c r="K25" i="2"/>
  <c r="L19" i="1"/>
  <c r="D37" i="1"/>
  <c r="D14" i="1"/>
  <c r="G37" i="1"/>
  <c r="G14" i="1"/>
  <c r="H37" i="1"/>
  <c r="H14" i="1"/>
  <c r="H31" i="1"/>
  <c r="J36" i="1"/>
  <c r="J32" i="1"/>
  <c r="J34" i="1"/>
  <c r="E37" i="1"/>
  <c r="E14" i="1"/>
  <c r="L31" i="1"/>
  <c r="F14" i="1"/>
  <c r="F37" i="1"/>
  <c r="I50" i="1"/>
  <c r="I36" i="1"/>
  <c r="I32" i="1"/>
  <c r="I34" i="1"/>
  <c r="M19" i="1"/>
  <c r="M37" i="1"/>
  <c r="K19" i="1"/>
  <c r="K37" i="1"/>
  <c r="K14" i="1"/>
  <c r="H19" i="1"/>
  <c r="J16" i="1"/>
  <c r="I16" i="1"/>
  <c r="C31" i="1"/>
  <c r="N16" i="1"/>
  <c r="N17" i="1"/>
  <c r="C37" i="1"/>
  <c r="E22" i="8"/>
  <c r="F22" i="8"/>
  <c r="C19" i="1"/>
  <c r="C12" i="1"/>
  <c r="G31" i="1"/>
  <c r="D31" i="1"/>
  <c r="C53" i="1"/>
  <c r="N15" i="1"/>
  <c r="N35" i="2"/>
  <c r="I12" i="1"/>
  <c r="J12" i="1"/>
  <c r="D19" i="2"/>
  <c r="D25" i="2"/>
  <c r="E25" i="2"/>
  <c r="E19" i="2"/>
  <c r="G25" i="2"/>
  <c r="G19" i="2"/>
  <c r="L19" i="2"/>
  <c r="L25" i="2"/>
  <c r="H19" i="2"/>
  <c r="H25" i="2"/>
  <c r="F25" i="2"/>
  <c r="F19" i="2"/>
  <c r="M25" i="2"/>
  <c r="M19" i="2"/>
  <c r="M31" i="1"/>
  <c r="K31" i="1"/>
  <c r="F31" i="1"/>
  <c r="J19" i="1"/>
  <c r="J14" i="1"/>
  <c r="J37" i="1"/>
  <c r="E31" i="1"/>
  <c r="I19" i="1"/>
  <c r="I37" i="1"/>
  <c r="I14" i="1"/>
  <c r="K32" i="2"/>
  <c r="K28" i="2"/>
  <c r="D12" i="8"/>
  <c r="E12" i="8"/>
  <c r="I22" i="8"/>
  <c r="J22" i="8"/>
  <c r="G22" i="8"/>
  <c r="H22" i="8"/>
  <c r="C19" i="2"/>
  <c r="C25" i="2"/>
  <c r="J19" i="2"/>
  <c r="J25" i="2"/>
  <c r="I25" i="2"/>
  <c r="I19" i="2"/>
  <c r="I31" i="1"/>
  <c r="J31" i="1"/>
  <c r="E28" i="2"/>
  <c r="D28" i="2"/>
  <c r="H29" i="2"/>
  <c r="H33" i="2"/>
  <c r="L28" i="2"/>
  <c r="L32" i="2"/>
  <c r="G33" i="2"/>
  <c r="G29" i="2"/>
  <c r="F33" i="2"/>
  <c r="F29" i="2"/>
  <c r="K14" i="2"/>
  <c r="F28" i="2"/>
  <c r="M28" i="2"/>
  <c r="M32" i="2"/>
  <c r="H32" i="2"/>
  <c r="H28" i="2"/>
  <c r="G32" i="2"/>
  <c r="G28" i="2"/>
  <c r="M33" i="2"/>
  <c r="M29" i="2"/>
  <c r="F12" i="8"/>
  <c r="I12" i="8"/>
  <c r="J12" i="8"/>
  <c r="G12" i="8"/>
  <c r="H12" i="8"/>
  <c r="D32" i="2"/>
  <c r="E32" i="2"/>
  <c r="F32" i="2"/>
  <c r="C28" i="2"/>
  <c r="M14" i="2"/>
  <c r="M31" i="2"/>
  <c r="M30" i="2"/>
  <c r="H14" i="2"/>
  <c r="H31" i="2"/>
  <c r="H30" i="2"/>
  <c r="L14" i="2"/>
  <c r="J33" i="2"/>
  <c r="J29" i="2"/>
  <c r="F14" i="2"/>
  <c r="F31" i="2"/>
  <c r="F30" i="2"/>
  <c r="G14" i="2"/>
  <c r="G31" i="2"/>
  <c r="G30" i="2"/>
  <c r="J32" i="2"/>
  <c r="J28" i="2"/>
  <c r="I32" i="2"/>
  <c r="I28" i="2"/>
  <c r="I29" i="2"/>
  <c r="I33" i="2"/>
  <c r="D14" i="2"/>
  <c r="E14" i="2"/>
  <c r="C32" i="2"/>
  <c r="M34" i="2"/>
  <c r="H34" i="2"/>
  <c r="F34" i="2"/>
  <c r="G34" i="2"/>
  <c r="N9" i="1"/>
  <c r="C14" i="2"/>
  <c r="J14" i="2"/>
  <c r="J31" i="2"/>
  <c r="J30" i="2"/>
  <c r="I14" i="2"/>
  <c r="I31" i="2"/>
  <c r="I30" i="2"/>
  <c r="N7" i="1"/>
  <c r="M36" i="2"/>
  <c r="M38" i="2"/>
  <c r="M39" i="2"/>
  <c r="F36" i="2"/>
  <c r="F38" i="2"/>
  <c r="F39" i="2"/>
  <c r="G36" i="2"/>
  <c r="G38" i="2"/>
  <c r="G39" i="2"/>
  <c r="B36" i="1"/>
  <c r="N36" i="1"/>
  <c r="D24" i="8"/>
  <c r="I34" i="2"/>
  <c r="H36" i="2"/>
  <c r="N32" i="1"/>
  <c r="D21" i="8"/>
  <c r="J34" i="2"/>
  <c r="N34" i="1"/>
  <c r="D23" i="8"/>
  <c r="E23" i="8"/>
  <c r="F23" i="8"/>
  <c r="A21" i="2"/>
  <c r="A20" i="2"/>
  <c r="A26" i="2"/>
  <c r="A17" i="2"/>
  <c r="A23" i="2"/>
  <c r="A16" i="2"/>
  <c r="A22" i="2"/>
  <c r="A15" i="2"/>
  <c r="A9" i="2"/>
  <c r="N3" i="2"/>
  <c r="A63" i="2"/>
  <c r="A60" i="2"/>
  <c r="A69" i="2"/>
  <c r="K29" i="2"/>
  <c r="K33" i="2"/>
  <c r="K34" i="2"/>
  <c r="L29" i="2"/>
  <c r="L33" i="2"/>
  <c r="L34" i="2"/>
  <c r="C29" i="2"/>
  <c r="C33" i="2"/>
  <c r="C34" i="2"/>
  <c r="D29" i="2"/>
  <c r="D33" i="2"/>
  <c r="D34" i="2"/>
  <c r="E33" i="2"/>
  <c r="E34" i="2"/>
  <c r="E29" i="2"/>
  <c r="N5" i="2"/>
  <c r="O5" i="2"/>
  <c r="D6" i="7"/>
  <c r="D5" i="7"/>
  <c r="D7" i="8"/>
  <c r="E21" i="8"/>
  <c r="F21" i="8"/>
  <c r="E24" i="8"/>
  <c r="M41" i="2"/>
  <c r="M42" i="2"/>
  <c r="G41" i="2"/>
  <c r="G42" i="2"/>
  <c r="F41" i="2"/>
  <c r="F42" i="2"/>
  <c r="A29" i="2"/>
  <c r="I36" i="2"/>
  <c r="I38" i="2"/>
  <c r="I39" i="2"/>
  <c r="A31" i="2"/>
  <c r="A28" i="2"/>
  <c r="A30" i="2"/>
  <c r="J36" i="2"/>
  <c r="J38" i="2"/>
  <c r="J39" i="2"/>
  <c r="H38" i="2"/>
  <c r="H39" i="2"/>
  <c r="L30" i="2"/>
  <c r="K30" i="2"/>
  <c r="C30" i="2"/>
  <c r="D30" i="2"/>
  <c r="E30" i="2"/>
  <c r="B19" i="2"/>
  <c r="N19" i="2"/>
  <c r="N6" i="1"/>
  <c r="B12" i="1"/>
  <c r="N8" i="2"/>
  <c r="O8" i="2"/>
  <c r="B25" i="2"/>
  <c r="N25" i="2"/>
  <c r="D6" i="8"/>
  <c r="E6" i="8"/>
  <c r="D10" i="8"/>
  <c r="E10" i="8"/>
  <c r="F10" i="8"/>
  <c r="G23" i="8"/>
  <c r="H23" i="8"/>
  <c r="I23" i="8"/>
  <c r="J23" i="8"/>
  <c r="F24" i="8"/>
  <c r="I24" i="8"/>
  <c r="J24" i="8"/>
  <c r="G24" i="8"/>
  <c r="H24" i="8"/>
  <c r="I21" i="8"/>
  <c r="J21" i="8"/>
  <c r="G21" i="8"/>
  <c r="H21" i="8"/>
  <c r="J41" i="2"/>
  <c r="J42" i="2"/>
  <c r="H41" i="2"/>
  <c r="H42" i="2"/>
  <c r="I41" i="2"/>
  <c r="I42" i="2"/>
  <c r="N12" i="1"/>
  <c r="N7" i="2"/>
  <c r="O7" i="2"/>
  <c r="N6" i="2"/>
  <c r="O6" i="2"/>
  <c r="D30" i="1"/>
  <c r="D38" i="1"/>
  <c r="D39" i="1"/>
  <c r="H30" i="1"/>
  <c r="H38" i="1"/>
  <c r="H39" i="1"/>
  <c r="L30" i="1"/>
  <c r="L38" i="1"/>
  <c r="L39" i="1"/>
  <c r="E30" i="1"/>
  <c r="E38" i="1"/>
  <c r="E39" i="1"/>
  <c r="I30" i="1"/>
  <c r="M30" i="1"/>
  <c r="M38" i="1"/>
  <c r="M39" i="1"/>
  <c r="F30" i="1"/>
  <c r="F38" i="1"/>
  <c r="F39" i="1"/>
  <c r="J30" i="1"/>
  <c r="J38" i="1"/>
  <c r="J39" i="1"/>
  <c r="B30" i="1"/>
  <c r="C30" i="1"/>
  <c r="C38" i="1"/>
  <c r="G30" i="1"/>
  <c r="G38" i="1"/>
  <c r="G39" i="1"/>
  <c r="K30" i="1"/>
  <c r="K38" i="1"/>
  <c r="K39" i="1"/>
  <c r="I38" i="1"/>
  <c r="I39" i="1"/>
  <c r="B28" i="2"/>
  <c r="E31" i="2"/>
  <c r="C31" i="2"/>
  <c r="C36" i="2"/>
  <c r="C38" i="2"/>
  <c r="C39" i="2"/>
  <c r="L31" i="2"/>
  <c r="L36" i="2"/>
  <c r="L38" i="2"/>
  <c r="L39" i="2"/>
  <c r="D31" i="2"/>
  <c r="D36" i="2"/>
  <c r="D38" i="2"/>
  <c r="D39" i="2"/>
  <c r="K31" i="2"/>
  <c r="K36" i="2"/>
  <c r="G6" i="8"/>
  <c r="H6" i="8"/>
  <c r="F6" i="8"/>
  <c r="E7" i="8"/>
  <c r="G7" i="8"/>
  <c r="D11" i="8"/>
  <c r="B32" i="2"/>
  <c r="N32" i="2"/>
  <c r="E36" i="2"/>
  <c r="E38" i="2"/>
  <c r="E39" i="2"/>
  <c r="N30" i="1"/>
  <c r="C39" i="1"/>
  <c r="B14" i="2"/>
  <c r="D33" i="8"/>
  <c r="G10" i="8"/>
  <c r="H10" i="8"/>
  <c r="E11" i="8"/>
  <c r="G11" i="8"/>
  <c r="H11" i="8"/>
  <c r="H7" i="8"/>
  <c r="I6" i="8"/>
  <c r="J6" i="8"/>
  <c r="F7" i="8"/>
  <c r="E41" i="2"/>
  <c r="E42" i="2"/>
  <c r="K38" i="2"/>
  <c r="K39" i="2"/>
  <c r="K41" i="2"/>
  <c r="K42" i="2"/>
  <c r="L41" i="2"/>
  <c r="L42" i="2"/>
  <c r="C41" i="2"/>
  <c r="C42" i="2"/>
  <c r="D41" i="2"/>
  <c r="D42" i="2"/>
  <c r="O19" i="2"/>
  <c r="E33" i="8"/>
  <c r="I7" i="8"/>
  <c r="J7" i="8"/>
  <c r="I10" i="8"/>
  <c r="J10" i="8"/>
  <c r="F11" i="8"/>
  <c r="I11" i="8"/>
  <c r="J11" i="8"/>
  <c r="O10" i="2"/>
  <c r="O12" i="2"/>
  <c r="O11" i="2"/>
  <c r="O14" i="2"/>
  <c r="G33" i="8"/>
  <c r="H33" i="8"/>
  <c r="F33" i="8"/>
  <c r="O18" i="2"/>
  <c r="O16" i="2"/>
  <c r="O17" i="2"/>
  <c r="O20" i="2"/>
  <c r="I33" i="8"/>
  <c r="J33" i="8"/>
  <c r="B29" i="2"/>
  <c r="B33" i="2"/>
  <c r="B30" i="2"/>
  <c r="N33" i="2"/>
  <c r="B34" i="2"/>
  <c r="N30" i="2"/>
  <c r="B31" i="2"/>
  <c r="D34" i="8"/>
  <c r="O24" i="2"/>
  <c r="N34" i="2"/>
  <c r="O25" i="2"/>
  <c r="E34" i="8"/>
  <c r="D35" i="8"/>
  <c r="B36" i="2"/>
  <c r="B38" i="2"/>
  <c r="B39" i="2"/>
  <c r="O26" i="2"/>
  <c r="O22" i="2"/>
  <c r="O23" i="2"/>
  <c r="O37" i="2"/>
  <c r="F34" i="8"/>
  <c r="G34" i="8"/>
  <c r="H34" i="8"/>
  <c r="E35" i="8"/>
  <c r="O28" i="2"/>
  <c r="O34" i="2"/>
  <c r="O32" i="2"/>
  <c r="O33" i="2"/>
  <c r="O40" i="2"/>
  <c r="O35" i="2"/>
  <c r="O30" i="2"/>
  <c r="O29" i="2"/>
  <c r="O31" i="2"/>
  <c r="N36" i="2"/>
  <c r="O36" i="2"/>
  <c r="N38" i="2"/>
  <c r="G35" i="8"/>
  <c r="H35" i="8"/>
  <c r="I34" i="8"/>
  <c r="J34" i="8"/>
  <c r="F35" i="8"/>
  <c r="D36" i="8"/>
  <c r="O38" i="2"/>
  <c r="I35" i="8"/>
  <c r="J35" i="8"/>
  <c r="E36" i="8"/>
  <c r="D39" i="8"/>
  <c r="D40" i="8"/>
  <c r="B41" i="2"/>
  <c r="B42" i="2"/>
  <c r="N39" i="2"/>
  <c r="O39" i="2"/>
  <c r="F36" i="8"/>
  <c r="G36" i="8"/>
  <c r="H36" i="8"/>
  <c r="E39" i="8"/>
  <c r="N41" i="2"/>
  <c r="N42" i="2"/>
  <c r="O42" i="2"/>
  <c r="O41" i="2"/>
  <c r="D21" i="7"/>
  <c r="G39" i="8"/>
  <c r="H39" i="8"/>
  <c r="E40" i="8"/>
  <c r="I36" i="8"/>
  <c r="J36" i="8"/>
  <c r="F39" i="8"/>
  <c r="G40" i="8"/>
  <c r="H40" i="8"/>
  <c r="I39" i="8"/>
  <c r="J39" i="8"/>
  <c r="F40" i="8"/>
  <c r="G58" i="8"/>
  <c r="H58" i="8"/>
  <c r="I40" i="8"/>
  <c r="J40" i="8"/>
  <c r="B20" i="1"/>
  <c r="B19" i="1"/>
  <c r="N13" i="1"/>
  <c r="D17" i="8"/>
  <c r="D14" i="8"/>
  <c r="N19" i="1"/>
  <c r="N14" i="1"/>
  <c r="D9" i="8"/>
  <c r="B37" i="1"/>
  <c r="N37" i="1"/>
  <c r="B14" i="1"/>
  <c r="D8" i="7"/>
  <c r="E17" i="8"/>
  <c r="E14" i="8"/>
  <c r="D19" i="8"/>
  <c r="N11" i="1"/>
  <c r="N20" i="1"/>
  <c r="H53" i="1"/>
  <c r="D7" i="7"/>
  <c r="D8" i="8"/>
  <c r="E8" i="8"/>
  <c r="N25" i="1"/>
  <c r="O35" i="1"/>
  <c r="B31" i="1"/>
  <c r="N31" i="1"/>
  <c r="O31" i="1"/>
  <c r="P12" i="1"/>
  <c r="O37" i="1"/>
  <c r="O34" i="1"/>
  <c r="O36" i="1"/>
  <c r="O29" i="1"/>
  <c r="O30" i="1"/>
  <c r="O28" i="1"/>
  <c r="O32" i="1"/>
  <c r="O33" i="1"/>
  <c r="G17" i="8"/>
  <c r="H17" i="8"/>
  <c r="E9" i="8"/>
  <c r="G9" i="8"/>
  <c r="H9" i="8"/>
  <c r="F17" i="8"/>
  <c r="F14" i="8"/>
  <c r="F8" i="8"/>
  <c r="I8" i="8"/>
  <c r="J8" i="8"/>
  <c r="G8" i="8"/>
  <c r="H8" i="8"/>
  <c r="E19" i="8"/>
  <c r="F19" i="8"/>
  <c r="B38" i="1"/>
  <c r="Q12" i="1"/>
  <c r="D18" i="8"/>
  <c r="E18" i="8"/>
  <c r="I19" i="8"/>
  <c r="J19" i="8"/>
  <c r="G19" i="8"/>
  <c r="H19" i="8"/>
  <c r="C24" i="23"/>
  <c r="G14" i="8"/>
  <c r="H14" i="8"/>
  <c r="D20" i="8"/>
  <c r="N26" i="1"/>
  <c r="O27" i="1"/>
  <c r="F9" i="8"/>
  <c r="I9" i="8"/>
  <c r="J9" i="8"/>
  <c r="I17" i="8"/>
  <c r="J17" i="8"/>
  <c r="N38" i="1"/>
  <c r="B39" i="1"/>
  <c r="N39" i="1"/>
  <c r="O39" i="1"/>
  <c r="G18" i="8"/>
  <c r="H18" i="8"/>
  <c r="F18" i="8"/>
  <c r="I18" i="8"/>
  <c r="J18" i="8"/>
  <c r="O38" i="1"/>
  <c r="D20" i="7"/>
  <c r="I14" i="8"/>
  <c r="J14" i="8"/>
  <c r="D24" i="23"/>
  <c r="E20" i="8"/>
  <c r="D25" i="8"/>
  <c r="D22" i="7"/>
  <c r="E21" i="7"/>
  <c r="E25" i="8"/>
  <c r="D26" i="8"/>
  <c r="D41" i="8"/>
  <c r="D51" i="8"/>
  <c r="D56" i="8"/>
  <c r="F20" i="8"/>
  <c r="I20" i="8"/>
  <c r="J20" i="8"/>
  <c r="G20" i="8"/>
  <c r="H20" i="8"/>
  <c r="E20" i="7"/>
  <c r="D61" i="8"/>
  <c r="D63" i="8"/>
  <c r="D65" i="8"/>
  <c r="B20" i="23"/>
  <c r="D24" i="7"/>
  <c r="G25" i="8"/>
  <c r="H25" i="8"/>
  <c r="F25" i="8"/>
  <c r="E26" i="8"/>
  <c r="E41" i="8"/>
  <c r="E51" i="8"/>
  <c r="E56" i="8"/>
  <c r="E24" i="7"/>
  <c r="D35" i="7"/>
  <c r="E35" i="7"/>
  <c r="D9" i="7"/>
  <c r="B24" i="23"/>
  <c r="G26" i="8"/>
  <c r="H26" i="8"/>
  <c r="I25" i="8"/>
  <c r="J25" i="8"/>
  <c r="F26" i="8"/>
  <c r="F41" i="8"/>
  <c r="F51" i="8"/>
  <c r="F56" i="8"/>
  <c r="D39" i="7"/>
  <c r="I26" i="8"/>
  <c r="J26" i="8"/>
  <c r="E39" i="7"/>
  <c r="D44" i="7"/>
  <c r="B22" i="23"/>
  <c r="G51" i="8"/>
  <c r="H51" i="8"/>
  <c r="D50" i="7"/>
  <c r="E44" i="7"/>
  <c r="G56" i="8"/>
  <c r="H56" i="8"/>
  <c r="E61" i="8"/>
  <c r="C22" i="23"/>
  <c r="I51" i="8"/>
  <c r="J51" i="8"/>
  <c r="E50" i="7"/>
  <c r="D51" i="7"/>
  <c r="B18" i="23"/>
  <c r="F61" i="8"/>
  <c r="D22" i="23"/>
  <c r="I56" i="8"/>
  <c r="J56" i="8"/>
  <c r="G61" i="8"/>
  <c r="H61" i="8"/>
  <c r="E63" i="8"/>
  <c r="G63" i="8"/>
  <c r="H63" i="8"/>
  <c r="D52" i="7"/>
  <c r="E52" i="7"/>
  <c r="E51" i="7"/>
  <c r="B23" i="23"/>
  <c r="B19" i="23"/>
  <c r="E65" i="8"/>
  <c r="C19" i="23"/>
  <c r="F63" i="8"/>
  <c r="I63" i="8"/>
  <c r="J63" i="8"/>
  <c r="I61" i="8"/>
  <c r="J61" i="8"/>
  <c r="C20" i="23"/>
  <c r="C23" i="23"/>
  <c r="G65" i="8"/>
  <c r="H65" i="8"/>
  <c r="C18" i="23"/>
  <c r="F65" i="8"/>
  <c r="D20" i="23"/>
  <c r="D23" i="23"/>
  <c r="D19" i="23"/>
  <c r="I65" i="8"/>
  <c r="J65" i="8"/>
  <c r="D1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tc={9CF35115-6853-4177-BF26-7FA9D2ACAF81}</author>
  </authors>
  <commentList>
    <comment ref="J7" authorId="0" shapeId="0" xr:uid="{9CF35115-6853-4177-BF26-7FA9D2ACAF8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Коллабарация с гольфом в вестин отель
</t>
      </text>
    </comment>
  </commentList>
</comments>
</file>

<file path=xl/sharedStrings.xml><?xml version="1.0" encoding="utf-8"?>
<sst xmlns="http://schemas.openxmlformats.org/spreadsheetml/2006/main" count="649" uniqueCount="392">
  <si>
    <t>rooms in hotel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</si>
  <si>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</si>
  <si>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</si>
  <si>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</si>
  <si>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</si>
  <si>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</si>
  <si>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</si>
  <si>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</si>
  <si>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</si>
  <si>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</si>
  <si>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</si>
  <si>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</si>
  <si>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</si>
  <si>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</si>
  <si>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</si>
  <si>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SEASON</t>
  </si>
  <si>
    <t>LOW</t>
  </si>
  <si>
    <t>MID</t>
  </si>
  <si>
    <t>HIGH</t>
  </si>
  <si>
    <t>Guests per room</t>
  </si>
  <si>
    <t>Occupancy % (OCC)</t>
  </si>
  <si>
    <t>Total Number of Rooms</t>
  </si>
  <si>
    <t>Rooms Available - Total</t>
  </si>
  <si>
    <t>Rooms Sold</t>
  </si>
  <si>
    <t>Rooms sales efficiency</t>
  </si>
  <si>
    <t>Beds occupancy %</t>
  </si>
  <si>
    <t>Average Room Rate (ARR)</t>
  </si>
  <si>
    <t xml:space="preserve">Revpar </t>
  </si>
  <si>
    <t>Rack rate</t>
  </si>
  <si>
    <t>Number of Guests</t>
  </si>
  <si>
    <t>Average Stay per Guest</t>
  </si>
  <si>
    <t>Average guest spend</t>
  </si>
  <si>
    <t>Yield management rate</t>
  </si>
  <si>
    <t xml:space="preserve">Total Revenue </t>
  </si>
  <si>
    <t>%</t>
  </si>
  <si>
    <t>Rooms revenue</t>
  </si>
  <si>
    <t>% comissions</t>
  </si>
  <si>
    <t>Comissions</t>
  </si>
  <si>
    <t>F.O. wages</t>
  </si>
  <si>
    <t>F.O. overtime</t>
  </si>
  <si>
    <t>H.K. wages</t>
  </si>
  <si>
    <t>H.K. overtime</t>
  </si>
  <si>
    <t>Dry cleaning and laundry</t>
  </si>
  <si>
    <t>Uniforms</t>
  </si>
  <si>
    <t>Amenities</t>
  </si>
  <si>
    <t>Cleaning supplies</t>
  </si>
  <si>
    <t>Other expenses</t>
  </si>
  <si>
    <t>Total costs</t>
  </si>
  <si>
    <t>P&amp;L</t>
  </si>
  <si>
    <t>30 rooms in hotel</t>
  </si>
  <si>
    <t>COMERCIAL CHANNEL</t>
  </si>
  <si>
    <t>TA</t>
  </si>
  <si>
    <t>Online</t>
  </si>
  <si>
    <t>CR/GDs</t>
  </si>
  <si>
    <t>Corporate</t>
  </si>
  <si>
    <t>MICE</t>
  </si>
  <si>
    <t>DIRECT</t>
  </si>
  <si>
    <t>COMISSION  rate</t>
  </si>
  <si>
    <t>% of contribution to Rooms Division  Revenue</t>
  </si>
  <si>
    <t>High season</t>
  </si>
  <si>
    <t>Mid season</t>
  </si>
  <si>
    <t>Low season</t>
  </si>
  <si>
    <t>ADR</t>
  </si>
  <si>
    <t xml:space="preserve"> Room division permanent staff cost</t>
  </si>
  <si>
    <t>ANNUAL SALARY</t>
  </si>
  <si>
    <t>STAFF</t>
  </si>
  <si>
    <t>NUMBER</t>
  </si>
  <si>
    <t>Annual Cost</t>
  </si>
  <si>
    <t>Monthly Cost</t>
  </si>
  <si>
    <t>F.O. Manager</t>
  </si>
  <si>
    <t>F.O. staff</t>
  </si>
  <si>
    <t>Bel boy</t>
  </si>
  <si>
    <t>Concierge</t>
  </si>
  <si>
    <t>H.K. staff</t>
  </si>
  <si>
    <t>High</t>
  </si>
  <si>
    <t>Mid</t>
  </si>
  <si>
    <t>Low</t>
  </si>
  <si>
    <t>Extra labor cost HK</t>
  </si>
  <si>
    <t xml:space="preserve">F.O. Overtime: </t>
  </si>
  <si>
    <t>Laundry expenses</t>
  </si>
  <si>
    <t>cleaning supplies</t>
  </si>
  <si>
    <t>Total</t>
  </si>
  <si>
    <t>Hotel guests</t>
  </si>
  <si>
    <t>breakfast covers</t>
  </si>
  <si>
    <t>lunch covers</t>
  </si>
  <si>
    <t>dinner covers</t>
  </si>
  <si>
    <t>FOOD REVENUE</t>
  </si>
  <si>
    <t>BEVERAGE REVENUE</t>
  </si>
  <si>
    <t>F&amp;B REVENUE</t>
  </si>
  <si>
    <t>TOTAL REVENUE</t>
  </si>
  <si>
    <t>FOOD COST</t>
  </si>
  <si>
    <t>BEVERAGE COST</t>
  </si>
  <si>
    <t>F&amp;B COST</t>
  </si>
  <si>
    <t>OVERTIME</t>
  </si>
  <si>
    <t>WAGES AND SALARIES</t>
  </si>
  <si>
    <t>PRIME COST</t>
  </si>
  <si>
    <t>OTHER EXPENSES</t>
  </si>
  <si>
    <t>TOTAL COSTS</t>
  </si>
  <si>
    <t>BREAKFAST</t>
  </si>
  <si>
    <t>Number of staff</t>
  </si>
  <si>
    <t>Cost per staff</t>
  </si>
  <si>
    <t>Monthly cost</t>
  </si>
  <si>
    <t>Captured rate</t>
  </si>
  <si>
    <t>Avge food check</t>
  </si>
  <si>
    <t>avge bev check</t>
  </si>
  <si>
    <t>cook 8h</t>
  </si>
  <si>
    <t>food cost %</t>
  </si>
  <si>
    <t>cook 4h</t>
  </si>
  <si>
    <t>bev cost %</t>
  </si>
  <si>
    <t>other expenses %</t>
  </si>
  <si>
    <t>server 8h</t>
  </si>
  <si>
    <t>LUNCH</t>
  </si>
  <si>
    <t>server  4h</t>
  </si>
  <si>
    <t>bartender</t>
  </si>
  <si>
    <t xml:space="preserve">Total </t>
  </si>
  <si>
    <t>avge other revenue</t>
  </si>
  <si>
    <t>We expect to spend as overtime:</t>
  </si>
  <si>
    <t>low season</t>
  </si>
  <si>
    <t>mid season</t>
  </si>
  <si>
    <t>high season</t>
  </si>
  <si>
    <t>6% of total revenue</t>
  </si>
  <si>
    <t>DINNER</t>
  </si>
  <si>
    <t>op. and guest supplies</t>
  </si>
  <si>
    <t>Principal</t>
  </si>
  <si>
    <t>Type</t>
  </si>
  <si>
    <t>Constant Principal Payment</t>
  </si>
  <si>
    <t>Payment</t>
  </si>
  <si>
    <t>end</t>
  </si>
  <si>
    <t>Duration</t>
  </si>
  <si>
    <t>Interest</t>
  </si>
  <si>
    <t>Principal Payment</t>
  </si>
  <si>
    <t>Outstanding</t>
  </si>
  <si>
    <t>Principal Pmt</t>
  </si>
  <si>
    <t>Service of Debt</t>
  </si>
  <si>
    <t>Rooms Occupied</t>
  </si>
  <si>
    <t>Occupancy %</t>
  </si>
  <si>
    <t>Average Rate</t>
  </si>
  <si>
    <t xml:space="preserve">Average guest per room </t>
  </si>
  <si>
    <t>Total Revenue</t>
  </si>
  <si>
    <t>Rooms Department</t>
  </si>
  <si>
    <t>Wages &amp; Benefits</t>
  </si>
  <si>
    <t>Other Expenses</t>
  </si>
  <si>
    <t xml:space="preserve">Comissions </t>
  </si>
  <si>
    <t xml:space="preserve">Dry cleaning and laundry </t>
  </si>
  <si>
    <t xml:space="preserve">Uniforms </t>
  </si>
  <si>
    <t xml:space="preserve">Amenities </t>
  </si>
  <si>
    <t xml:space="preserve">Cleaning supplies </t>
  </si>
  <si>
    <t>Total Rooms Profit</t>
  </si>
  <si>
    <t>F &amp; B  - Outlets</t>
  </si>
  <si>
    <t>Food Revenue</t>
  </si>
  <si>
    <t>Beverage Revenue</t>
  </si>
  <si>
    <t>F&amp;B revenue</t>
  </si>
  <si>
    <t>Cost of Food</t>
  </si>
  <si>
    <t>Cost of Beverage</t>
  </si>
  <si>
    <t>F&amp;B Cost</t>
  </si>
  <si>
    <t>Uniform</t>
  </si>
  <si>
    <t>Total F &amp; B Profit - Outlets</t>
  </si>
  <si>
    <t>Non operational staff wages</t>
  </si>
  <si>
    <t>Administrative &amp; General expenses</t>
  </si>
  <si>
    <t>Marketing,Sales,&amp;Promotions</t>
  </si>
  <si>
    <t>Information &amp; telecom systems</t>
  </si>
  <si>
    <t xml:space="preserve">Maintance of Property </t>
  </si>
  <si>
    <t xml:space="preserve">Access to guest CV via manual setting </t>
  </si>
  <si>
    <t xml:space="preserve">Progressive annual package for use of Synxis on the member's website </t>
  </si>
  <si>
    <t>G.O.P. after fees</t>
  </si>
  <si>
    <t>Insurance</t>
  </si>
  <si>
    <t>Rent</t>
  </si>
  <si>
    <t>EBITDA</t>
  </si>
  <si>
    <t>Interest Expenses</t>
  </si>
  <si>
    <t>Depreciation &amp; Amortization</t>
  </si>
  <si>
    <t>Gross Profit/(Loss)</t>
  </si>
  <si>
    <t>Net profit</t>
  </si>
  <si>
    <t>2025-2028</t>
  </si>
  <si>
    <t>2028-2030</t>
  </si>
  <si>
    <t>`</t>
  </si>
  <si>
    <t>Year</t>
  </si>
  <si>
    <t>Number of Rooms</t>
  </si>
  <si>
    <t>Occupied Rooms</t>
  </si>
  <si>
    <t>Days Open</t>
  </si>
  <si>
    <t>Occupancy</t>
  </si>
  <si>
    <t>RevPAR</t>
  </si>
  <si>
    <t xml:space="preserve">REVENUE </t>
  </si>
  <si>
    <t xml:space="preserve">Rooms Department </t>
  </si>
  <si>
    <t>Food</t>
  </si>
  <si>
    <t>Beverage</t>
  </si>
  <si>
    <t>Total F&amp;B revenue</t>
  </si>
  <si>
    <t>Spa revenue</t>
  </si>
  <si>
    <t xml:space="preserve">DEPARTMENTAL EXPENSES </t>
  </si>
  <si>
    <t>Rooms</t>
  </si>
  <si>
    <t>Food and Beverage</t>
  </si>
  <si>
    <t>Spa</t>
  </si>
  <si>
    <t>Total Expenses</t>
  </si>
  <si>
    <t>DEPARTMENTAL INCOME (also CM)</t>
  </si>
  <si>
    <t xml:space="preserve">UNDISTRIBUTED OPERATING EXPENSES </t>
  </si>
  <si>
    <t>Admin &amp; General</t>
  </si>
  <si>
    <t>Sales &amp; Marketing</t>
  </si>
  <si>
    <t>Property, Operations &amp; Maintenance</t>
  </si>
  <si>
    <t>Energy</t>
  </si>
  <si>
    <t xml:space="preserve">GROSS OPERATING PROFIT </t>
  </si>
  <si>
    <t xml:space="preserve">FIXED EXPENSES </t>
  </si>
  <si>
    <t>Building and Business Interruption Insurance</t>
  </si>
  <si>
    <t xml:space="preserve">Rent </t>
  </si>
  <si>
    <t xml:space="preserve">Total Expenses </t>
  </si>
  <si>
    <t xml:space="preserve">EBITDA </t>
  </si>
  <si>
    <t>WACC</t>
  </si>
  <si>
    <t>Return</t>
  </si>
  <si>
    <t>Investment</t>
  </si>
  <si>
    <t>NOMINAL INVESTMENT</t>
  </si>
  <si>
    <t>Free cash-flow</t>
  </si>
  <si>
    <t>Profit</t>
  </si>
  <si>
    <t>Accummulated Payments</t>
  </si>
  <si>
    <t>ROI per year</t>
  </si>
  <si>
    <t>Discounted value from year 2022</t>
  </si>
  <si>
    <t>Discounted value from year 2023</t>
  </si>
  <si>
    <t>Discounted value from year 2024</t>
  </si>
  <si>
    <t>Discounted value from year 2025</t>
  </si>
  <si>
    <t>Discounted value from year 2026</t>
  </si>
  <si>
    <t>Total discounted Cashflows</t>
  </si>
  <si>
    <t>Net Present Value</t>
  </si>
  <si>
    <t>Internal Rate of Return</t>
  </si>
  <si>
    <t>PBE</t>
  </si>
  <si>
    <t>LoS</t>
  </si>
  <si>
    <t>Operational Gearing</t>
  </si>
  <si>
    <t>Total Avaliable of rooms</t>
  </si>
  <si>
    <t xml:space="preserve">Salaries </t>
  </si>
  <si>
    <t>Relais Chateux</t>
  </si>
  <si>
    <t>Implemention fee</t>
  </si>
  <si>
    <t>Annual management fees</t>
  </si>
  <si>
    <t xml:space="preserve">Cash at the end of the year </t>
  </si>
  <si>
    <t>Net Increase in Cash</t>
  </si>
  <si>
    <t>Net Cash Flow from Financing Activities</t>
  </si>
  <si>
    <t>Repayment of loans</t>
  </si>
  <si>
    <t>Accounts payable</t>
  </si>
  <si>
    <t xml:space="preserve">Cash paid for </t>
  </si>
  <si>
    <t>Pre-paid insurance</t>
  </si>
  <si>
    <t>Short-term investements</t>
  </si>
  <si>
    <t>Loans Received</t>
  </si>
  <si>
    <t>Cash receipts from</t>
  </si>
  <si>
    <t>Financing Activities</t>
  </si>
  <si>
    <t>Net Cash Flow from Investing Activities</t>
  </si>
  <si>
    <t xml:space="preserve">Purchase of equipment </t>
  </si>
  <si>
    <t>Cash paid for</t>
  </si>
  <si>
    <t>Sale of equipment</t>
  </si>
  <si>
    <t xml:space="preserve">Cash receipts from </t>
  </si>
  <si>
    <t>Investing Activities</t>
  </si>
  <si>
    <t>Net Cash Flow from Operations</t>
  </si>
  <si>
    <t>Income Taxes</t>
  </si>
  <si>
    <t>Maintenance</t>
  </si>
  <si>
    <t>Marketing</t>
  </si>
  <si>
    <t>Utilities</t>
  </si>
  <si>
    <t>General and administrative expenses</t>
  </si>
  <si>
    <t>Inventory purchase</t>
  </si>
  <si>
    <t>Wages</t>
  </si>
  <si>
    <t>Wellness and SPA</t>
  </si>
  <si>
    <t>Food and Bevearge</t>
  </si>
  <si>
    <t>Room Revenue</t>
  </si>
  <si>
    <t>Operations</t>
  </si>
  <si>
    <t>Cash at the beginning of the year</t>
  </si>
  <si>
    <t>For the year ending</t>
  </si>
  <si>
    <t>Tranquility Hotel</t>
  </si>
  <si>
    <t>Cash Flow Statement</t>
  </si>
  <si>
    <t>Security system</t>
  </si>
  <si>
    <t>Offices equipment</t>
  </si>
  <si>
    <t>Hotel Management Software</t>
  </si>
  <si>
    <t>F&amp;B equipment</t>
  </si>
  <si>
    <t>Vehicles</t>
  </si>
  <si>
    <t>Spa and Pool eqipment</t>
  </si>
  <si>
    <t>Long Term Liabilities</t>
  </si>
  <si>
    <t>Furniture</t>
  </si>
  <si>
    <t>Current Liabilities</t>
  </si>
  <si>
    <t>Short-term Investments</t>
  </si>
  <si>
    <t>Stock</t>
  </si>
  <si>
    <t>Inventory</t>
  </si>
  <si>
    <t>Cash</t>
  </si>
  <si>
    <t>Current liabilities</t>
  </si>
  <si>
    <t>Long term Liabilities</t>
  </si>
  <si>
    <t>Equity</t>
  </si>
  <si>
    <t>Total Fixed Assets</t>
  </si>
  <si>
    <t>Total Current Assets</t>
  </si>
  <si>
    <t>Owners investment</t>
  </si>
  <si>
    <t>Total Liabilities + Equity</t>
  </si>
  <si>
    <t>Total Assets</t>
  </si>
  <si>
    <t>Total Capital</t>
  </si>
  <si>
    <t>Parking</t>
  </si>
  <si>
    <t>Capital:</t>
  </si>
  <si>
    <t>Long term loan</t>
  </si>
  <si>
    <t xml:space="preserve">Gym equipment </t>
  </si>
  <si>
    <t>Notes Payable</t>
  </si>
  <si>
    <t>Fixed Assets</t>
  </si>
  <si>
    <t>Long Term Liabilities:</t>
  </si>
  <si>
    <t>Fixed Assets:</t>
  </si>
  <si>
    <t>Salaries fond</t>
  </si>
  <si>
    <t>Short Term Loans</t>
  </si>
  <si>
    <t>Accounts Payable</t>
  </si>
  <si>
    <t>Salaries</t>
  </si>
  <si>
    <t>Current Liabilities:</t>
  </si>
  <si>
    <t>Compared to each part</t>
  </si>
  <si>
    <t>Compared to total</t>
  </si>
  <si>
    <t>Current Assets:</t>
  </si>
  <si>
    <t>Relative Variation</t>
  </si>
  <si>
    <t>Absolute Variation</t>
  </si>
  <si>
    <t>2025-2030</t>
  </si>
  <si>
    <t>General Manager</t>
  </si>
  <si>
    <t>Short term Loan</t>
  </si>
  <si>
    <t xml:space="preserve">Long term loan </t>
  </si>
  <si>
    <t>Owners Investment</t>
  </si>
  <si>
    <t>ki*wi*(1-t)</t>
  </si>
  <si>
    <t>tax effect</t>
  </si>
  <si>
    <t>ki*wi</t>
  </si>
  <si>
    <t>wi</t>
  </si>
  <si>
    <t>ki</t>
  </si>
  <si>
    <t>Total fees</t>
  </si>
  <si>
    <t>FEES</t>
  </si>
  <si>
    <r>
      <t xml:space="preserve">Income tax </t>
    </r>
    <r>
      <rPr>
        <b/>
        <sz val="11"/>
        <color theme="1"/>
        <rFont val="Century Gothic"/>
        <family val="2"/>
      </rPr>
      <t>(25 %)</t>
    </r>
  </si>
  <si>
    <t>Salaries fund</t>
  </si>
  <si>
    <t>Short Term Loan</t>
  </si>
  <si>
    <t>Debt to equity ratio</t>
  </si>
  <si>
    <t>Acid-test ratio</t>
  </si>
  <si>
    <t>Current Ratio</t>
  </si>
  <si>
    <t xml:space="preserve">staff to revenue specific department= revenue/ staff </t>
  </si>
  <si>
    <t>staff to profit = profit / staff  how much each staff member is make profit profit</t>
  </si>
  <si>
    <t>Return on sales = EBITDA/TOTAL REVENUE</t>
  </si>
  <si>
    <t>Solvency ratio = total assets/ liability</t>
  </si>
  <si>
    <t>Return on equity ratio = Net income / Shareholder’s equity</t>
  </si>
  <si>
    <t>Return on assets ratio = Net income / Total assets</t>
  </si>
  <si>
    <t>Debt to equity ratio = Total liabilities / Shareholder’s equity</t>
  </si>
  <si>
    <t>Acid-test ratio = Current assets – Inventories / Current liabilities</t>
  </si>
  <si>
    <t>Current ratio = Current assets / Current liabilities</t>
  </si>
  <si>
    <t>ROI=net profit/cost of investement*100</t>
  </si>
  <si>
    <t>Return on investement</t>
  </si>
  <si>
    <t>Overall ROI</t>
  </si>
  <si>
    <t>BALANCE SHEET Tranquility Hotel at 31.12.2025 &amp; 2028 &amp; 2030</t>
  </si>
  <si>
    <t>Return on assets ratio</t>
  </si>
  <si>
    <t>Return on equity ratio</t>
  </si>
  <si>
    <t>Solvency ratio</t>
  </si>
  <si>
    <t>Return on sales</t>
  </si>
  <si>
    <t>Staff to profit</t>
  </si>
  <si>
    <t>Absolute variation</t>
  </si>
  <si>
    <t>Relative variation</t>
  </si>
  <si>
    <t xml:space="preserve">Staff to revenue </t>
  </si>
  <si>
    <t>TTOO</t>
  </si>
  <si>
    <t>2€ per room</t>
  </si>
  <si>
    <t>1.10 € / room</t>
  </si>
  <si>
    <t>9% of total revenue</t>
  </si>
  <si>
    <t>op. and guests supplies</t>
  </si>
  <si>
    <t>5% of total revenue per month</t>
  </si>
  <si>
    <t>head chef</t>
  </si>
  <si>
    <t>sous chef</t>
  </si>
  <si>
    <t>sommelier</t>
  </si>
  <si>
    <t>4% of total revenue</t>
  </si>
  <si>
    <t>5% of total revenue</t>
  </si>
  <si>
    <t>OTHER REVENUE</t>
  </si>
  <si>
    <t>Total RevPar</t>
  </si>
  <si>
    <t>Operating revenue</t>
  </si>
  <si>
    <t>Rooms Revenue</t>
  </si>
  <si>
    <t>FB</t>
  </si>
  <si>
    <t>Miscellaneous income</t>
  </si>
  <si>
    <t>Expenses</t>
  </si>
  <si>
    <t>Total Profit</t>
  </si>
  <si>
    <t>Undistributed operating expenses</t>
  </si>
  <si>
    <t>Information and telecommunication systems</t>
  </si>
  <si>
    <t>Sales and Marketing</t>
  </si>
  <si>
    <t>Maintance and property operation</t>
  </si>
  <si>
    <t xml:space="preserve">     G. O. P.</t>
  </si>
  <si>
    <t>Management fees</t>
  </si>
  <si>
    <t>Income before non-operating Income and expenses</t>
  </si>
  <si>
    <t>Property Taxes</t>
  </si>
  <si>
    <t xml:space="preserve">Insurance </t>
  </si>
  <si>
    <t>Depreciation</t>
  </si>
  <si>
    <t>Taxes</t>
  </si>
  <si>
    <t>Amortization</t>
  </si>
  <si>
    <t>Gross Profit</t>
  </si>
  <si>
    <t>Net Profit</t>
  </si>
  <si>
    <t>25 € per room</t>
  </si>
  <si>
    <t>6 euros/ room</t>
  </si>
  <si>
    <t>La Finca del Vino</t>
  </si>
  <si>
    <t>3500€ each month of High season and 1500€ per month during Mid season</t>
  </si>
  <si>
    <t xml:space="preserve">Arrivals </t>
  </si>
  <si>
    <t>250€ / employee per year (20 employees)</t>
  </si>
  <si>
    <t>Total operating revenue</t>
  </si>
  <si>
    <t>€</t>
  </si>
  <si>
    <t>FB Revenue</t>
  </si>
  <si>
    <t>Property tax</t>
  </si>
  <si>
    <t>BALANCE SHEET</t>
  </si>
  <si>
    <t>Pool eqipment</t>
  </si>
  <si>
    <t>Pool equipment</t>
  </si>
  <si>
    <t>supervisor</t>
  </si>
  <si>
    <t>rest m</t>
  </si>
  <si>
    <t>buiding</t>
  </si>
  <si>
    <t>H.K. supervisor</t>
  </si>
  <si>
    <t>220€ / employee per year (17 employees)</t>
  </si>
  <si>
    <t>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</si>
</sst>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\ &quot;₽&quot;_-;\-* #,##0.00\ &quot;₽&quot;_-;_-* &quot;-&quot;??\ &quot;₽&quot;_-;_-@_-"/>
    <numFmt numFmtId="167" formatCode="0.0%"/>
    <numFmt numFmtId="168" formatCode="_ [$€-2]\ * #,##0.00_ ;_ [$€-2]\ * \-#,##0.00_ ;_ [$€-2]\ * &quot;-&quot;??_ ;_ @_ "/>
    <numFmt numFmtId="169" formatCode="_-* #,##0\ [$€-C0A]_-;\-* #,##0\ [$€-C0A]_-;_-* &quot;-&quot;??\ [$€-C0A]_-;_-@_-"/>
    <numFmt numFmtId="170" formatCode="_-* #,##0\ &quot;€&quot;_-;\-* #,##0\ &quot;€&quot;_-;_-* &quot;-&quot;??\ &quot;€&quot;_-;_-@_-"/>
    <numFmt numFmtId="171" formatCode="_ * #,##0.0_ ;_ * \-#,##0.0_ ;_ * &quot;-&quot;??_ ;_ @_ "/>
    <numFmt numFmtId="172" formatCode="_-[$€-2]\ * #,##0.00_-;\-[$€-2]\ * #,##0.00_-;_-[$€-2]\ * &quot;-&quot;??_-;_-@_-"/>
    <numFmt numFmtId="173" formatCode="&quot; &quot;#,##0.00&quot; € &quot;;&quot;-&quot;#,##0.00&quot; € &quot;;&quot; -&quot;00&quot; € &quot;;&quot; &quot;@&quot; &quot;"/>
    <numFmt numFmtId="174" formatCode="_-* #,##0_-;\-* #,##0_-;_-* &quot;-&quot;??_-;_-@_-"/>
    <numFmt numFmtId="175" formatCode="#,##0.000"/>
    <numFmt numFmtId="176" formatCode="0.000"/>
    <numFmt numFmtId="177" formatCode="&quot; &quot;#,##0.00&quot; € &quot;;&quot;-&quot;#,##0.00&quot; € &quot;;&quot; -&quot;00.00&quot; € &quot;;&quot; &quot;@&quot; &quot;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color theme="1"/>
      <name val="Century Gothic"/>
      <family val="2"/>
    </font>
    <font>
      <b/>
      <sz val="10"/>
      <color indexed="63"/>
      <name val="Century Gothic"/>
      <family val="2"/>
    </font>
    <font>
      <sz val="10"/>
      <color rgb="FFFF0000"/>
      <name val="Century Gothic"/>
      <family val="2"/>
    </font>
    <font>
      <b/>
      <sz val="10"/>
      <color theme="1" tint="4.9989318521683403E-2"/>
      <name val="Century Gothic"/>
      <family val="2"/>
    </font>
    <font>
      <sz val="10"/>
      <name val="Century Gothic"/>
      <family val="2"/>
      <charset val="204"/>
    </font>
    <font>
      <sz val="11"/>
      <color theme="1"/>
      <name val="Century Gothic"/>
      <family val="2"/>
    </font>
    <font>
      <b/>
      <i/>
      <sz val="10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1"/>
    </font>
    <font>
      <b/>
      <sz val="10"/>
      <name val="Century Gothic"/>
      <family val="1"/>
    </font>
    <font>
      <b/>
      <sz val="11"/>
      <name val="Century Gothic"/>
      <family val="2"/>
    </font>
    <font>
      <i/>
      <sz val="9"/>
      <name val="Century Gothic"/>
      <family val="2"/>
    </font>
    <font>
      <b/>
      <sz val="12"/>
      <color theme="1"/>
      <name val="Century Gothic"/>
      <family val="2"/>
    </font>
    <font>
      <b/>
      <sz val="20"/>
      <name val="Century Gothic"/>
      <family val="2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0"/>
      <color theme="1"/>
      <name val="Century Gothic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Helvetica Neue"/>
      <family val="2"/>
    </font>
    <font>
      <b/>
      <sz val="13"/>
      <color theme="1"/>
      <name val="Helvetica Neue"/>
      <family val="2"/>
    </font>
    <font>
      <sz val="11"/>
      <color rgb="FF0070C0"/>
      <name val="Century Gothic"/>
      <family val="2"/>
    </font>
    <font>
      <sz val="11"/>
      <name val="Century Gothic"/>
      <family val="2"/>
    </font>
    <font>
      <sz val="11"/>
      <color rgb="FF0070C0"/>
      <name val="Calibri"/>
      <family val="2"/>
      <scheme val="minor"/>
    </font>
    <font>
      <sz val="11"/>
      <color rgb="FF00B050"/>
      <name val="Century Gothic"/>
      <family val="2"/>
    </font>
    <font>
      <sz val="11"/>
      <color theme="4" tint="-0.249977111117893"/>
      <name val="Century Gothic"/>
      <family val="2"/>
    </font>
    <font>
      <b/>
      <sz val="11"/>
      <color theme="1"/>
      <name val="Century Gothic"/>
      <family val="1"/>
    </font>
    <font>
      <sz val="11"/>
      <color theme="1" tint="0.249977111117893"/>
      <name val="Century Gothic"/>
      <family val="2"/>
    </font>
    <font>
      <b/>
      <i/>
      <sz val="11"/>
      <color theme="1"/>
      <name val="Century Gothic"/>
      <family val="1"/>
    </font>
    <font>
      <sz val="11"/>
      <color rgb="FF00B050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b/>
      <sz val="9"/>
      <color rgb="FF57595D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8"/>
      <name val="Century Gothic"/>
      <family val="2"/>
      <charset val="204"/>
    </font>
    <font>
      <b/>
      <i/>
      <sz val="10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1"/>
      <color rgb="FF9C57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name val="Century Gothic"/>
      <family val="2"/>
    </font>
  </fonts>
  <fills count="5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0F1FA"/>
        <bgColor indexed="64"/>
      </patternFill>
    </fill>
    <fill>
      <patternFill patternType="solid">
        <fgColor rgb="FFA9D840"/>
        <bgColor indexed="64"/>
      </patternFill>
    </fill>
    <fill>
      <patternFill patternType="solid">
        <fgColor rgb="FFFCF7BC"/>
        <bgColor indexed="64"/>
      </patternFill>
    </fill>
    <fill>
      <patternFill patternType="solid">
        <fgColor rgb="FFE7FABC"/>
        <bgColor indexed="64"/>
      </patternFill>
    </fill>
    <fill>
      <patternFill patternType="solid">
        <fgColor rgb="FFC9F468"/>
        <bgColor indexed="64"/>
      </patternFill>
    </fill>
    <fill>
      <patternFill patternType="solid">
        <fgColor rgb="FFD4E3FC"/>
        <bgColor indexed="64"/>
      </patternFill>
    </fill>
    <fill>
      <patternFill patternType="solid">
        <fgColor rgb="FFF791B3"/>
        <bgColor indexed="64"/>
      </patternFill>
    </fill>
    <fill>
      <patternFill patternType="solid">
        <fgColor rgb="FFF3FBBB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0" fontId="25" fillId="0" borderId="0"/>
    <xf numFmtId="0" fontId="28" fillId="0" borderId="0"/>
    <xf numFmtId="9" fontId="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72" fillId="45" borderId="0" applyNumberFormat="0" applyBorder="0" applyAlignment="0" applyProtection="0"/>
    <xf numFmtId="0" fontId="73" fillId="46" borderId="68" applyNumberFormat="0" applyAlignment="0" applyProtection="0"/>
  </cellStyleXfs>
  <cellXfs count="818">
    <xf numFmtId="0" fontId="0" fillId="0" borderId="0" xfId="0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wrapText="1"/>
    </xf>
    <xf numFmtId="0" fontId="10" fillId="3" borderId="16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2" borderId="19" xfId="0" applyFont="1" applyFill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171" fontId="8" fillId="0" borderId="25" xfId="1" applyNumberFormat="1" applyFont="1" applyFill="1" applyBorder="1" applyAlignment="1">
      <alignment horizontal="center"/>
    </xf>
    <xf numFmtId="168" fontId="7" fillId="0" borderId="19" xfId="0" applyNumberFormat="1" applyFont="1" applyBorder="1" applyAlignment="1">
      <alignment horizontal="center"/>
    </xf>
    <xf numFmtId="10" fontId="8" fillId="0" borderId="19" xfId="2" applyNumberFormat="1" applyFont="1" applyFill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10" fontId="9" fillId="0" borderId="18" xfId="2" applyNumberFormat="1" applyFont="1" applyBorder="1" applyAlignment="1">
      <alignment horizontal="center" wrapText="1"/>
    </xf>
    <xf numFmtId="10" fontId="9" fillId="0" borderId="24" xfId="2" applyNumberFormat="1" applyFont="1" applyBorder="1" applyAlignment="1">
      <alignment horizontal="center" wrapText="1"/>
    </xf>
    <xf numFmtId="168" fontId="7" fillId="0" borderId="29" xfId="0" applyNumberFormat="1" applyFont="1" applyBorder="1" applyAlignment="1">
      <alignment horizontal="center"/>
    </xf>
    <xf numFmtId="171" fontId="8" fillId="2" borderId="30" xfId="1" applyNumberFormat="1" applyFont="1" applyFill="1" applyBorder="1" applyAlignment="1">
      <alignment horizontal="center"/>
    </xf>
    <xf numFmtId="168" fontId="7" fillId="0" borderId="18" xfId="0" applyNumberFormat="1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3" fontId="7" fillId="0" borderId="31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168" fontId="7" fillId="0" borderId="31" xfId="0" applyNumberFormat="1" applyFont="1" applyBorder="1" applyAlignment="1">
      <alignment horizontal="center"/>
    </xf>
    <xf numFmtId="171" fontId="8" fillId="0" borderId="32" xfId="1" applyNumberFormat="1" applyFont="1" applyFill="1" applyBorder="1" applyAlignment="1">
      <alignment horizontal="center"/>
    </xf>
    <xf numFmtId="171" fontId="8" fillId="2" borderId="33" xfId="1" applyNumberFormat="1" applyFont="1" applyFill="1" applyBorder="1" applyAlignment="1">
      <alignment horizontal="center"/>
    </xf>
    <xf numFmtId="10" fontId="8" fillId="0" borderId="19" xfId="2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9" fontId="8" fillId="0" borderId="13" xfId="2" applyFont="1" applyFill="1" applyBorder="1" applyAlignment="1">
      <alignment horizontal="center"/>
    </xf>
    <xf numFmtId="171" fontId="8" fillId="0" borderId="12" xfId="1" applyNumberFormat="1" applyFont="1" applyFill="1" applyBorder="1" applyAlignment="1">
      <alignment horizontal="center"/>
    </xf>
    <xf numFmtId="10" fontId="8" fillId="0" borderId="13" xfId="2" applyNumberFormat="1" applyFont="1" applyFill="1" applyBorder="1" applyAlignment="1">
      <alignment horizontal="center"/>
    </xf>
    <xf numFmtId="10" fontId="8" fillId="0" borderId="35" xfId="2" applyNumberFormat="1" applyFont="1" applyFill="1" applyBorder="1" applyAlignment="1">
      <alignment horizontal="center"/>
    </xf>
    <xf numFmtId="0" fontId="8" fillId="2" borderId="36" xfId="0" applyFont="1" applyFill="1" applyBorder="1"/>
    <xf numFmtId="10" fontId="8" fillId="0" borderId="36" xfId="2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wrapText="1"/>
    </xf>
    <xf numFmtId="3" fontId="7" fillId="0" borderId="22" xfId="0" applyNumberFormat="1" applyFont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168" fontId="7" fillId="0" borderId="22" xfId="0" applyNumberFormat="1" applyFon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/>
    </xf>
    <xf numFmtId="171" fontId="8" fillId="0" borderId="42" xfId="1" applyNumberFormat="1" applyFont="1" applyFill="1" applyBorder="1" applyAlignment="1">
      <alignment horizontal="center"/>
    </xf>
    <xf numFmtId="171" fontId="8" fillId="2" borderId="36" xfId="1" applyNumberFormat="1" applyFont="1" applyFill="1" applyBorder="1" applyAlignment="1">
      <alignment horizontal="center"/>
    </xf>
    <xf numFmtId="10" fontId="9" fillId="0" borderId="19" xfId="2" applyNumberFormat="1" applyFont="1" applyBorder="1" applyAlignment="1">
      <alignment horizontal="center" wrapText="1"/>
    </xf>
    <xf numFmtId="0" fontId="8" fillId="0" borderId="34" xfId="0" applyFont="1" applyBorder="1"/>
    <xf numFmtId="0" fontId="8" fillId="2" borderId="37" xfId="0" applyFont="1" applyFill="1" applyBorder="1"/>
    <xf numFmtId="0" fontId="8" fillId="0" borderId="7" xfId="0" applyFont="1" applyBorder="1"/>
    <xf numFmtId="0" fontId="10" fillId="0" borderId="42" xfId="0" applyFont="1" applyBorder="1" applyAlignment="1">
      <alignment horizontal="center"/>
    </xf>
    <xf numFmtId="0" fontId="10" fillId="0" borderId="1" xfId="0" applyFont="1" applyBorder="1"/>
    <xf numFmtId="10" fontId="7" fillId="0" borderId="19" xfId="2" applyNumberFormat="1" applyFont="1" applyBorder="1" applyAlignment="1">
      <alignment horizontal="center"/>
    </xf>
    <xf numFmtId="168" fontId="15" fillId="0" borderId="19" xfId="0" applyNumberFormat="1" applyFont="1" applyBorder="1" applyAlignment="1">
      <alignment horizontal="center"/>
    </xf>
    <xf numFmtId="172" fontId="0" fillId="0" borderId="0" xfId="0" applyNumberFormat="1"/>
    <xf numFmtId="10" fontId="9" fillId="0" borderId="19" xfId="2" applyNumberFormat="1" applyFont="1" applyBorder="1" applyAlignment="1">
      <alignment horizontal="center"/>
    </xf>
    <xf numFmtId="0" fontId="16" fillId="19" borderId="0" xfId="0" applyFont="1" applyFill="1"/>
    <xf numFmtId="3" fontId="0" fillId="0" borderId="0" xfId="0" applyNumberFormat="1"/>
    <xf numFmtId="168" fontId="7" fillId="0" borderId="0" xfId="0" applyNumberFormat="1" applyFont="1" applyAlignment="1">
      <alignment horizontal="center"/>
    </xf>
    <xf numFmtId="168" fontId="15" fillId="0" borderId="18" xfId="0" applyNumberFormat="1" applyFont="1" applyBorder="1" applyAlignment="1">
      <alignment horizontal="center"/>
    </xf>
    <xf numFmtId="0" fontId="7" fillId="19" borderId="46" xfId="0" applyFont="1" applyFill="1" applyBorder="1" applyAlignment="1">
      <alignment horizontal="right"/>
    </xf>
    <xf numFmtId="0" fontId="7" fillId="19" borderId="46" xfId="0" applyFont="1" applyFill="1" applyBorder="1"/>
    <xf numFmtId="0" fontId="7" fillId="19" borderId="47" xfId="0" applyFont="1" applyFill="1" applyBorder="1"/>
    <xf numFmtId="168" fontId="19" fillId="0" borderId="19" xfId="0" applyNumberFormat="1" applyFont="1" applyBorder="1" applyAlignment="1">
      <alignment horizontal="center"/>
    </xf>
    <xf numFmtId="172" fontId="7" fillId="0" borderId="19" xfId="4" applyNumberFormat="1" applyFont="1" applyBorder="1" applyAlignment="1">
      <alignment horizontal="center"/>
    </xf>
    <xf numFmtId="0" fontId="7" fillId="19" borderId="48" xfId="0" applyFont="1" applyFill="1" applyBorder="1" applyAlignment="1">
      <alignment horizontal="right"/>
    </xf>
    <xf numFmtId="0" fontId="7" fillId="19" borderId="48" xfId="0" applyFont="1" applyFill="1" applyBorder="1"/>
    <xf numFmtId="0" fontId="7" fillId="19" borderId="49" xfId="0" applyFont="1" applyFill="1" applyBorder="1"/>
    <xf numFmtId="3" fontId="8" fillId="0" borderId="18" xfId="0" applyNumberFormat="1" applyFont="1" applyBorder="1"/>
    <xf numFmtId="3" fontId="8" fillId="0" borderId="0" xfId="0" applyNumberFormat="1" applyFont="1"/>
    <xf numFmtId="0" fontId="8" fillId="0" borderId="18" xfId="0" applyFont="1" applyBorder="1"/>
    <xf numFmtId="10" fontId="8" fillId="0" borderId="18" xfId="2" applyNumberFormat="1" applyFont="1" applyBorder="1"/>
    <xf numFmtId="2" fontId="8" fillId="0" borderId="18" xfId="0" applyNumberFormat="1" applyFont="1" applyBorder="1"/>
    <xf numFmtId="0" fontId="23" fillId="0" borderId="0" xfId="0" applyFont="1" applyAlignment="1">
      <alignment horizontal="center"/>
    </xf>
    <xf numFmtId="9" fontId="8" fillId="20" borderId="18" xfId="2" applyFont="1" applyFill="1" applyBorder="1"/>
    <xf numFmtId="3" fontId="8" fillId="20" borderId="19" xfId="0" applyNumberFormat="1" applyFont="1" applyFill="1" applyBorder="1"/>
    <xf numFmtId="3" fontId="8" fillId="24" borderId="18" xfId="0" applyNumberFormat="1" applyFont="1" applyFill="1" applyBorder="1"/>
    <xf numFmtId="9" fontId="8" fillId="24" borderId="18" xfId="2" applyFont="1" applyFill="1" applyBorder="1"/>
    <xf numFmtId="168" fontId="0" fillId="0" borderId="0" xfId="0" applyNumberFormat="1"/>
    <xf numFmtId="168" fontId="15" fillId="24" borderId="19" xfId="0" applyNumberFormat="1" applyFont="1" applyFill="1" applyBorder="1" applyAlignment="1">
      <alignment horizontal="center"/>
    </xf>
    <xf numFmtId="0" fontId="25" fillId="0" borderId="0" xfId="5"/>
    <xf numFmtId="0" fontId="25" fillId="0" borderId="0" xfId="7"/>
    <xf numFmtId="0" fontId="7" fillId="24" borderId="5" xfId="0" applyFont="1" applyFill="1" applyBorder="1"/>
    <xf numFmtId="0" fontId="7" fillId="24" borderId="0" xfId="0" applyFont="1" applyFill="1" applyAlignment="1">
      <alignment horizontal="center"/>
    </xf>
    <xf numFmtId="0" fontId="28" fillId="0" borderId="0" xfId="8"/>
    <xf numFmtId="10" fontId="0" fillId="0" borderId="0" xfId="9" applyNumberFormat="1" applyFont="1" applyFill="1" applyBorder="1"/>
    <xf numFmtId="9" fontId="6" fillId="0" borderId="0" xfId="8" applyNumberFormat="1" applyFont="1"/>
    <xf numFmtId="0" fontId="6" fillId="0" borderId="0" xfId="8" applyFont="1"/>
    <xf numFmtId="0" fontId="29" fillId="24" borderId="0" xfId="8" applyFont="1" applyFill="1"/>
    <xf numFmtId="10" fontId="29" fillId="24" borderId="0" xfId="9" applyNumberFormat="1" applyFont="1" applyFill="1" applyBorder="1"/>
    <xf numFmtId="2" fontId="30" fillId="24" borderId="46" xfId="9" applyNumberFormat="1" applyFont="1" applyFill="1" applyBorder="1"/>
    <xf numFmtId="0" fontId="30" fillId="25" borderId="53" xfId="8" applyFont="1" applyFill="1" applyBorder="1"/>
    <xf numFmtId="3" fontId="30" fillId="24" borderId="0" xfId="8" applyNumberFormat="1" applyFont="1" applyFill="1"/>
    <xf numFmtId="0" fontId="30" fillId="25" borderId="33" xfId="8" applyFont="1" applyFill="1" applyBorder="1"/>
    <xf numFmtId="3" fontId="30" fillId="24" borderId="48" xfId="8" applyNumberFormat="1" applyFont="1" applyFill="1" applyBorder="1"/>
    <xf numFmtId="0" fontId="30" fillId="25" borderId="34" xfId="8" applyFont="1" applyFill="1" applyBorder="1"/>
    <xf numFmtId="3" fontId="6" fillId="0" borderId="0" xfId="8" applyNumberFormat="1" applyFont="1"/>
    <xf numFmtId="3" fontId="28" fillId="0" borderId="0" xfId="8" applyNumberFormat="1"/>
    <xf numFmtId="167" fontId="28" fillId="0" borderId="0" xfId="8" applyNumberFormat="1"/>
    <xf numFmtId="164" fontId="30" fillId="0" borderId="0" xfId="8" applyNumberFormat="1" applyFont="1"/>
    <xf numFmtId="0" fontId="30" fillId="0" borderId="0" xfId="8" applyFont="1"/>
    <xf numFmtId="3" fontId="30" fillId="0" borderId="0" xfId="8" applyNumberFormat="1" applyFont="1"/>
    <xf numFmtId="10" fontId="0" fillId="0" borderId="11" xfId="9" applyNumberFormat="1" applyFont="1" applyFill="1" applyBorder="1"/>
    <xf numFmtId="0" fontId="6" fillId="0" borderId="9" xfId="8" applyFont="1" applyBorder="1"/>
    <xf numFmtId="167" fontId="0" fillId="0" borderId="6" xfId="9" applyNumberFormat="1" applyFont="1" applyFill="1" applyBorder="1"/>
    <xf numFmtId="0" fontId="6" fillId="0" borderId="5" xfId="8" applyFont="1" applyBorder="1"/>
    <xf numFmtId="3" fontId="28" fillId="0" borderId="4" xfId="8" applyNumberFormat="1" applyBorder="1"/>
    <xf numFmtId="0" fontId="6" fillId="0" borderId="2" xfId="8" applyFont="1" applyBorder="1"/>
    <xf numFmtId="3" fontId="31" fillId="9" borderId="0" xfId="8" applyNumberFormat="1" applyFont="1" applyFill="1"/>
    <xf numFmtId="3" fontId="28" fillId="9" borderId="0" xfId="8" applyNumberFormat="1" applyFill="1"/>
    <xf numFmtId="0" fontId="6" fillId="9" borderId="0" xfId="8" applyFont="1" applyFill="1"/>
    <xf numFmtId="9" fontId="28" fillId="0" borderId="0" xfId="8" applyNumberFormat="1"/>
    <xf numFmtId="10" fontId="30" fillId="0" borderId="0" xfId="9" applyNumberFormat="1" applyFont="1" applyFill="1" applyBorder="1"/>
    <xf numFmtId="9" fontId="30" fillId="0" borderId="0" xfId="8" applyNumberFormat="1" applyFont="1"/>
    <xf numFmtId="0" fontId="30" fillId="26" borderId="31" xfId="8" applyFont="1" applyFill="1" applyBorder="1"/>
    <xf numFmtId="0" fontId="30" fillId="26" borderId="27" xfId="8" applyFont="1" applyFill="1" applyBorder="1"/>
    <xf numFmtId="3" fontId="29" fillId="0" borderId="48" xfId="8" applyNumberFormat="1" applyFont="1" applyBorder="1"/>
    <xf numFmtId="10" fontId="29" fillId="0" borderId="56" xfId="9" applyNumberFormat="1" applyFont="1" applyFill="1" applyBorder="1"/>
    <xf numFmtId="3" fontId="29" fillId="0" borderId="49" xfId="8" applyNumberFormat="1" applyFont="1" applyBorder="1"/>
    <xf numFmtId="0" fontId="29" fillId="0" borderId="48" xfId="8" applyFont="1" applyBorder="1"/>
    <xf numFmtId="0" fontId="29" fillId="27" borderId="31" xfId="8" applyFont="1" applyFill="1" applyBorder="1"/>
    <xf numFmtId="10" fontId="0" fillId="5" borderId="6" xfId="9" applyNumberFormat="1" applyFont="1" applyFill="1" applyBorder="1"/>
    <xf numFmtId="0" fontId="28" fillId="28" borderId="0" xfId="8" applyFill="1"/>
    <xf numFmtId="0" fontId="28" fillId="28" borderId="33" xfId="8" applyFill="1" applyBorder="1"/>
    <xf numFmtId="0" fontId="30" fillId="28" borderId="0" xfId="8" applyFont="1" applyFill="1"/>
    <xf numFmtId="10" fontId="30" fillId="28" borderId="6" xfId="9" applyNumberFormat="1" applyFont="1" applyFill="1" applyBorder="1"/>
    <xf numFmtId="0" fontId="30" fillId="28" borderId="5" xfId="8" applyFont="1" applyFill="1" applyBorder="1"/>
    <xf numFmtId="0" fontId="30" fillId="28" borderId="46" xfId="8" applyFont="1" applyFill="1" applyBorder="1"/>
    <xf numFmtId="10" fontId="0" fillId="0" borderId="6" xfId="9" applyNumberFormat="1" applyFont="1" applyFill="1" applyBorder="1"/>
    <xf numFmtId="3" fontId="28" fillId="0" borderId="5" xfId="8" applyNumberFormat="1" applyBorder="1"/>
    <xf numFmtId="0" fontId="28" fillId="0" borderId="31" xfId="8" applyBorder="1"/>
    <xf numFmtId="0" fontId="29" fillId="29" borderId="31" xfId="8" applyFont="1" applyFill="1" applyBorder="1"/>
    <xf numFmtId="0" fontId="29" fillId="12" borderId="27" xfId="8" applyFont="1" applyFill="1" applyBorder="1"/>
    <xf numFmtId="0" fontId="28" fillId="11" borderId="0" xfId="8" applyFill="1"/>
    <xf numFmtId="0" fontId="28" fillId="11" borderId="33" xfId="8" applyFill="1" applyBorder="1"/>
    <xf numFmtId="10" fontId="0" fillId="6" borderId="48" xfId="9" applyNumberFormat="1" applyFont="1" applyFill="1" applyBorder="1"/>
    <xf numFmtId="10" fontId="0" fillId="6" borderId="56" xfId="9" applyNumberFormat="1" applyFont="1" applyFill="1" applyBorder="1"/>
    <xf numFmtId="0" fontId="28" fillId="11" borderId="34" xfId="8" applyFill="1" applyBorder="1"/>
    <xf numFmtId="0" fontId="30" fillId="11" borderId="34" xfId="8" applyFont="1" applyFill="1" applyBorder="1"/>
    <xf numFmtId="0" fontId="29" fillId="0" borderId="0" xfId="8" applyFont="1"/>
    <xf numFmtId="0" fontId="29" fillId="29" borderId="27" xfId="8" applyFont="1" applyFill="1" applyBorder="1"/>
    <xf numFmtId="10" fontId="0" fillId="10" borderId="13" xfId="9" applyNumberFormat="1" applyFont="1" applyFill="1" applyBorder="1"/>
    <xf numFmtId="0" fontId="28" fillId="10" borderId="27" xfId="8" applyFill="1" applyBorder="1"/>
    <xf numFmtId="10" fontId="0" fillId="22" borderId="6" xfId="9" applyNumberFormat="1" applyFont="1" applyFill="1" applyBorder="1"/>
    <xf numFmtId="0" fontId="28" fillId="9" borderId="33" xfId="8" applyFill="1" applyBorder="1"/>
    <xf numFmtId="10" fontId="0" fillId="22" borderId="48" xfId="9" applyNumberFormat="1" applyFont="1" applyFill="1" applyBorder="1"/>
    <xf numFmtId="10" fontId="0" fillId="22" borderId="56" xfId="9" applyNumberFormat="1" applyFont="1" applyFill="1" applyBorder="1"/>
    <xf numFmtId="0" fontId="28" fillId="9" borderId="34" xfId="8" applyFill="1" applyBorder="1"/>
    <xf numFmtId="10" fontId="0" fillId="9" borderId="56" xfId="9" applyNumberFormat="1" applyFont="1" applyFill="1" applyBorder="1"/>
    <xf numFmtId="0" fontId="30" fillId="9" borderId="34" xfId="8" applyFont="1" applyFill="1" applyBorder="1"/>
    <xf numFmtId="0" fontId="29" fillId="30" borderId="27" xfId="8" applyFont="1" applyFill="1" applyBorder="1"/>
    <xf numFmtId="10" fontId="0" fillId="20" borderId="6" xfId="9" applyNumberFormat="1" applyFont="1" applyFill="1" applyBorder="1"/>
    <xf numFmtId="0" fontId="6" fillId="25" borderId="33" xfId="8" applyFont="1" applyFill="1" applyBorder="1"/>
    <xf numFmtId="0" fontId="28" fillId="25" borderId="33" xfId="8" applyFill="1" applyBorder="1"/>
    <xf numFmtId="10" fontId="0" fillId="20" borderId="56" xfId="9" applyNumberFormat="1" applyFont="1" applyFill="1" applyBorder="1"/>
    <xf numFmtId="0" fontId="28" fillId="25" borderId="34" xfId="8" applyFill="1" applyBorder="1"/>
    <xf numFmtId="10" fontId="0" fillId="25" borderId="13" xfId="9" applyNumberFormat="1" applyFont="1" applyFill="1" applyBorder="1"/>
    <xf numFmtId="0" fontId="30" fillId="25" borderId="27" xfId="8" applyFont="1" applyFill="1" applyBorder="1"/>
    <xf numFmtId="0" fontId="28" fillId="0" borderId="53" xfId="8" applyBorder="1"/>
    <xf numFmtId="0" fontId="28" fillId="0" borderId="33" xfId="8" applyBorder="1"/>
    <xf numFmtId="0" fontId="28" fillId="0" borderId="58" xfId="8" applyBorder="1"/>
    <xf numFmtId="0" fontId="28" fillId="0" borderId="33" xfId="8" applyBorder="1" applyAlignment="1">
      <alignment horizontal="left"/>
    </xf>
    <xf numFmtId="0" fontId="28" fillId="0" borderId="34" xfId="8" applyBorder="1" applyAlignment="1">
      <alignment horizontal="left"/>
    </xf>
    <xf numFmtId="0" fontId="32" fillId="0" borderId="2" xfId="8" applyFont="1" applyBorder="1" applyAlignment="1">
      <alignment horizontal="right"/>
    </xf>
    <xf numFmtId="0" fontId="32" fillId="0" borderId="3" xfId="8" applyFont="1" applyBorder="1" applyAlignment="1">
      <alignment horizontal="right"/>
    </xf>
    <xf numFmtId="10" fontId="32" fillId="0" borderId="4" xfId="9" applyNumberFormat="1" applyFont="1" applyBorder="1" applyAlignment="1">
      <alignment horizontal="right"/>
    </xf>
    <xf numFmtId="0" fontId="33" fillId="0" borderId="5" xfId="8" applyFont="1" applyBorder="1" applyAlignment="1">
      <alignment horizontal="right"/>
    </xf>
    <xf numFmtId="0" fontId="33" fillId="0" borderId="0" xfId="8" applyFont="1" applyAlignment="1">
      <alignment horizontal="right"/>
    </xf>
    <xf numFmtId="10" fontId="33" fillId="0" borderId="6" xfId="9" applyNumberFormat="1" applyFont="1" applyBorder="1" applyAlignment="1">
      <alignment horizontal="right"/>
    </xf>
    <xf numFmtId="3" fontId="34" fillId="0" borderId="5" xfId="8" applyNumberFormat="1" applyFont="1" applyBorder="1"/>
    <xf numFmtId="3" fontId="34" fillId="0" borderId="0" xfId="8" applyNumberFormat="1" applyFont="1"/>
    <xf numFmtId="10" fontId="34" fillId="0" borderId="6" xfId="9" applyNumberFormat="1" applyFont="1" applyBorder="1"/>
    <xf numFmtId="10" fontId="0" fillId="0" borderId="6" xfId="9" applyNumberFormat="1" applyFont="1" applyBorder="1"/>
    <xf numFmtId="10" fontId="0" fillId="0" borderId="5" xfId="9" applyNumberFormat="1" applyFont="1" applyBorder="1"/>
    <xf numFmtId="9" fontId="0" fillId="0" borderId="0" xfId="9" applyFont="1"/>
    <xf numFmtId="10" fontId="0" fillId="0" borderId="57" xfId="9" applyNumberFormat="1" applyFont="1" applyBorder="1"/>
    <xf numFmtId="4" fontId="35" fillId="30" borderId="50" xfId="8" applyNumberFormat="1" applyFont="1" applyFill="1" applyBorder="1"/>
    <xf numFmtId="0" fontId="35" fillId="30" borderId="31" xfId="8" applyFont="1" applyFill="1" applyBorder="1"/>
    <xf numFmtId="10" fontId="35" fillId="30" borderId="13" xfId="9" applyNumberFormat="1" applyFont="1" applyFill="1" applyBorder="1"/>
    <xf numFmtId="10" fontId="0" fillId="22" borderId="0" xfId="9" applyNumberFormat="1" applyFont="1" applyFill="1"/>
    <xf numFmtId="10" fontId="0" fillId="0" borderId="13" xfId="9" applyNumberFormat="1" applyFont="1" applyBorder="1"/>
    <xf numFmtId="3" fontId="35" fillId="29" borderId="50" xfId="8" applyNumberFormat="1" applyFont="1" applyFill="1" applyBorder="1"/>
    <xf numFmtId="0" fontId="35" fillId="29" borderId="31" xfId="8" applyFont="1" applyFill="1" applyBorder="1"/>
    <xf numFmtId="10" fontId="35" fillId="29" borderId="13" xfId="9" applyNumberFormat="1" applyFont="1" applyFill="1" applyBorder="1"/>
    <xf numFmtId="3" fontId="35" fillId="0" borderId="5" xfId="8" applyNumberFormat="1" applyFont="1" applyBorder="1"/>
    <xf numFmtId="0" fontId="35" fillId="0" borderId="0" xfId="8" applyFont="1"/>
    <xf numFmtId="10" fontId="35" fillId="0" borderId="6" xfId="9" applyNumberFormat="1" applyFont="1" applyBorder="1"/>
    <xf numFmtId="0" fontId="36" fillId="11" borderId="49" xfId="8" applyFont="1" applyFill="1" applyBorder="1"/>
    <xf numFmtId="0" fontId="36" fillId="11" borderId="48" xfId="8" applyFont="1" applyFill="1" applyBorder="1"/>
    <xf numFmtId="10" fontId="36" fillId="11" borderId="56" xfId="9" applyNumberFormat="1" applyFont="1" applyFill="1" applyBorder="1"/>
    <xf numFmtId="3" fontId="35" fillId="12" borderId="50" xfId="8" applyNumberFormat="1" applyFont="1" applyFill="1" applyBorder="1"/>
    <xf numFmtId="0" fontId="35" fillId="12" borderId="31" xfId="8" applyFont="1" applyFill="1" applyBorder="1"/>
    <xf numFmtId="10" fontId="35" fillId="12" borderId="13" xfId="9" applyNumberFormat="1" applyFont="1" applyFill="1" applyBorder="1"/>
    <xf numFmtId="0" fontId="36" fillId="11" borderId="31" xfId="8" applyFont="1" applyFill="1" applyBorder="1"/>
    <xf numFmtId="0" fontId="35" fillId="0" borderId="48" xfId="8" applyFont="1" applyBorder="1"/>
    <xf numFmtId="0" fontId="33" fillId="9" borderId="31" xfId="8" applyFont="1" applyFill="1" applyBorder="1"/>
    <xf numFmtId="0" fontId="33" fillId="25" borderId="31" xfId="8" applyFont="1" applyFill="1" applyBorder="1"/>
    <xf numFmtId="10" fontId="0" fillId="0" borderId="0" xfId="9" applyNumberFormat="1" applyFont="1"/>
    <xf numFmtId="10" fontId="33" fillId="0" borderId="0" xfId="9" applyNumberFormat="1" applyFont="1"/>
    <xf numFmtId="0" fontId="33" fillId="0" borderId="0" xfId="8" applyFont="1"/>
    <xf numFmtId="10" fontId="0" fillId="5" borderId="0" xfId="9" applyNumberFormat="1" applyFont="1" applyFill="1"/>
    <xf numFmtId="3" fontId="35" fillId="27" borderId="50" xfId="8" applyNumberFormat="1" applyFont="1" applyFill="1" applyBorder="1"/>
    <xf numFmtId="0" fontId="35" fillId="27" borderId="31" xfId="8" applyFont="1" applyFill="1" applyBorder="1"/>
    <xf numFmtId="10" fontId="35" fillId="27" borderId="13" xfId="9" applyNumberFormat="1" applyFont="1" applyFill="1" applyBorder="1"/>
    <xf numFmtId="3" fontId="33" fillId="13" borderId="55" xfId="8" applyNumberFormat="1" applyFont="1" applyFill="1" applyBorder="1"/>
    <xf numFmtId="3" fontId="33" fillId="26" borderId="54" xfId="8" applyNumberFormat="1" applyFont="1" applyFill="1" applyBorder="1"/>
    <xf numFmtId="10" fontId="33" fillId="26" borderId="35" xfId="9" applyNumberFormat="1" applyFont="1" applyFill="1" applyBorder="1"/>
    <xf numFmtId="0" fontId="33" fillId="28" borderId="0" xfId="8" applyFont="1" applyFill="1"/>
    <xf numFmtId="10" fontId="33" fillId="28" borderId="0" xfId="9" applyNumberFormat="1" applyFont="1" applyFill="1"/>
    <xf numFmtId="3" fontId="35" fillId="0" borderId="48" xfId="8" applyNumberFormat="1" applyFont="1" applyBorder="1"/>
    <xf numFmtId="10" fontId="35" fillId="0" borderId="48" xfId="9" applyNumberFormat="1" applyFont="1" applyBorder="1"/>
    <xf numFmtId="10" fontId="32" fillId="0" borderId="0" xfId="9" applyNumberFormat="1" applyFont="1" applyBorder="1" applyAlignment="1">
      <alignment horizontal="right"/>
    </xf>
    <xf numFmtId="3" fontId="33" fillId="0" borderId="0" xfId="8" applyNumberFormat="1" applyFont="1"/>
    <xf numFmtId="3" fontId="37" fillId="0" borderId="0" xfId="0" applyNumberFormat="1" applyFont="1" applyAlignment="1">
      <alignment horizontal="left" vertical="top"/>
    </xf>
    <xf numFmtId="0" fontId="38" fillId="0" borderId="0" xfId="0" applyFont="1"/>
    <xf numFmtId="0" fontId="16" fillId="0" borderId="0" xfId="0" applyFont="1"/>
    <xf numFmtId="0" fontId="43" fillId="0" borderId="0" xfId="0" applyFont="1"/>
    <xf numFmtId="0" fontId="44" fillId="0" borderId="0" xfId="0" applyFont="1"/>
    <xf numFmtId="10" fontId="45" fillId="0" borderId="18" xfId="2" applyNumberFormat="1" applyFont="1" applyBorder="1"/>
    <xf numFmtId="3" fontId="46" fillId="0" borderId="18" xfId="0" applyNumberFormat="1" applyFont="1" applyBorder="1"/>
    <xf numFmtId="3" fontId="46" fillId="0" borderId="18" xfId="0" applyNumberFormat="1" applyFont="1" applyBorder="1" applyAlignment="1">
      <alignment horizontal="left"/>
    </xf>
    <xf numFmtId="10" fontId="0" fillId="0" borderId="0" xfId="0" applyNumberFormat="1"/>
    <xf numFmtId="10" fontId="47" fillId="0" borderId="18" xfId="2" applyNumberFormat="1" applyFont="1" applyBorder="1"/>
    <xf numFmtId="3" fontId="16" fillId="0" borderId="18" xfId="0" applyNumberFormat="1" applyFont="1" applyBorder="1"/>
    <xf numFmtId="10" fontId="48" fillId="0" borderId="18" xfId="2" applyNumberFormat="1" applyFont="1" applyBorder="1"/>
    <xf numFmtId="10" fontId="16" fillId="0" borderId="0" xfId="2" applyNumberFormat="1" applyFont="1"/>
    <xf numFmtId="3" fontId="16" fillId="0" borderId="5" xfId="0" applyNumberFormat="1" applyFont="1" applyBorder="1"/>
    <xf numFmtId="10" fontId="0" fillId="0" borderId="0" xfId="2" applyNumberFormat="1" applyFont="1"/>
    <xf numFmtId="3" fontId="16" fillId="0" borderId="0" xfId="0" applyNumberFormat="1" applyFont="1"/>
    <xf numFmtId="3" fontId="16" fillId="3" borderId="18" xfId="0" applyNumberFormat="1" applyFont="1" applyFill="1" applyBorder="1"/>
    <xf numFmtId="10" fontId="0" fillId="0" borderId="18" xfId="2" applyNumberFormat="1" applyFont="1" applyBorder="1"/>
    <xf numFmtId="3" fontId="18" fillId="0" borderId="0" xfId="0" applyNumberFormat="1" applyFont="1"/>
    <xf numFmtId="167" fontId="48" fillId="0" borderId="14" xfId="2" applyNumberFormat="1" applyFont="1" applyBorder="1" applyAlignment="1">
      <alignment horizontal="right"/>
    </xf>
    <xf numFmtId="10" fontId="49" fillId="0" borderId="22" xfId="2" applyNumberFormat="1" applyFont="1" applyBorder="1" applyAlignment="1">
      <alignment horizontal="right"/>
    </xf>
    <xf numFmtId="3" fontId="16" fillId="0" borderId="14" xfId="0" applyNumberFormat="1" applyFont="1" applyBorder="1"/>
    <xf numFmtId="167" fontId="49" fillId="0" borderId="14" xfId="2" applyNumberFormat="1" applyFont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3" fontId="49" fillId="0" borderId="8" xfId="0" applyNumberFormat="1" applyFont="1" applyBorder="1" applyAlignment="1">
      <alignment horizontal="right"/>
    </xf>
    <xf numFmtId="3" fontId="16" fillId="0" borderId="6" xfId="0" applyNumberFormat="1" applyFont="1" applyBorder="1" applyAlignment="1">
      <alignment horizontal="right"/>
    </xf>
    <xf numFmtId="3" fontId="16" fillId="0" borderId="58" xfId="0" applyNumberFormat="1" applyFont="1" applyBorder="1" applyAlignment="1">
      <alignment horizontal="right"/>
    </xf>
    <xf numFmtId="10" fontId="48" fillId="0" borderId="22" xfId="2" applyNumberFormat="1" applyFont="1" applyBorder="1" applyAlignment="1">
      <alignment horizontal="right"/>
    </xf>
    <xf numFmtId="3" fontId="16" fillId="0" borderId="7" xfId="0" applyNumberFormat="1" applyFont="1" applyBorder="1" applyAlignment="1">
      <alignment horizontal="right"/>
    </xf>
    <xf numFmtId="3" fontId="49" fillId="0" borderId="7" xfId="0" applyNumberFormat="1" applyFont="1" applyBorder="1" applyAlignment="1">
      <alignment horizontal="right"/>
    </xf>
    <xf numFmtId="0" fontId="16" fillId="0" borderId="18" xfId="0" applyFont="1" applyBorder="1"/>
    <xf numFmtId="3" fontId="51" fillId="0" borderId="6" xfId="1" applyNumberFormat="1" applyFont="1" applyBorder="1" applyAlignment="1">
      <alignment horizontal="right"/>
    </xf>
    <xf numFmtId="3" fontId="51" fillId="18" borderId="6" xfId="1" applyNumberFormat="1" applyFont="1" applyFill="1" applyBorder="1" applyAlignment="1">
      <alignment horizontal="right"/>
    </xf>
    <xf numFmtId="3" fontId="16" fillId="18" borderId="0" xfId="0" applyNumberFormat="1" applyFont="1" applyFill="1"/>
    <xf numFmtId="10" fontId="48" fillId="0" borderId="7" xfId="2" applyNumberFormat="1" applyFont="1" applyBorder="1" applyAlignment="1">
      <alignment horizontal="right"/>
    </xf>
    <xf numFmtId="10" fontId="49" fillId="0" borderId="7" xfId="2" applyNumberFormat="1" applyFont="1" applyBorder="1" applyAlignment="1">
      <alignment horizontal="right"/>
    </xf>
    <xf numFmtId="3" fontId="46" fillId="0" borderId="58" xfId="0" applyNumberFormat="1" applyFont="1" applyBorder="1" applyAlignment="1">
      <alignment horizontal="right"/>
    </xf>
    <xf numFmtId="3" fontId="46" fillId="0" borderId="5" xfId="0" applyNumberFormat="1" applyFont="1" applyBorder="1"/>
    <xf numFmtId="3" fontId="46" fillId="31" borderId="58" xfId="0" applyNumberFormat="1" applyFont="1" applyFill="1" applyBorder="1" applyAlignment="1">
      <alignment horizontal="right"/>
    </xf>
    <xf numFmtId="3" fontId="46" fillId="31" borderId="5" xfId="0" applyNumberFormat="1" applyFont="1" applyFill="1" applyBorder="1"/>
    <xf numFmtId="10" fontId="48" fillId="0" borderId="0" xfId="2" applyNumberFormat="1" applyFont="1" applyBorder="1"/>
    <xf numFmtId="3" fontId="46" fillId="0" borderId="0" xfId="0" applyNumberFormat="1" applyFont="1"/>
    <xf numFmtId="3" fontId="46" fillId="31" borderId="58" xfId="1" applyNumberFormat="1" applyFont="1" applyFill="1" applyBorder="1" applyAlignment="1">
      <alignment horizontal="right"/>
    </xf>
    <xf numFmtId="3" fontId="46" fillId="31" borderId="5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3" fontId="16" fillId="0" borderId="15" xfId="0" applyNumberFormat="1" applyFont="1" applyBorder="1"/>
    <xf numFmtId="3" fontId="46" fillId="4" borderId="6" xfId="1" applyNumberFormat="1" applyFont="1" applyFill="1" applyBorder="1" applyAlignment="1">
      <alignment horizontal="right"/>
    </xf>
    <xf numFmtId="3" fontId="46" fillId="4" borderId="6" xfId="0" applyNumberFormat="1" applyFont="1" applyFill="1" applyBorder="1" applyAlignment="1">
      <alignment horizontal="right"/>
    </xf>
    <xf numFmtId="3" fontId="16" fillId="31" borderId="58" xfId="0" applyNumberFormat="1" applyFont="1" applyFill="1" applyBorder="1" applyAlignment="1">
      <alignment horizontal="right"/>
    </xf>
    <xf numFmtId="3" fontId="16" fillId="31" borderId="5" xfId="0" applyNumberFormat="1" applyFont="1" applyFill="1" applyBorder="1" applyAlignment="1">
      <alignment horizontal="left"/>
    </xf>
    <xf numFmtId="10" fontId="53" fillId="0" borderId="0" xfId="2" applyNumberFormat="1" applyFont="1" applyBorder="1"/>
    <xf numFmtId="10" fontId="45" fillId="0" borderId="0" xfId="2" applyNumberFormat="1" applyFont="1" applyBorder="1"/>
    <xf numFmtId="10" fontId="53" fillId="0" borderId="18" xfId="2" applyNumberFormat="1" applyFont="1" applyBorder="1"/>
    <xf numFmtId="3" fontId="46" fillId="32" borderId="6" xfId="1" applyNumberFormat="1" applyFont="1" applyFill="1" applyBorder="1" applyAlignment="1">
      <alignment horizontal="right"/>
    </xf>
    <xf numFmtId="3" fontId="16" fillId="32" borderId="5" xfId="0" applyNumberFormat="1" applyFont="1" applyFill="1" applyBorder="1"/>
    <xf numFmtId="10" fontId="48" fillId="0" borderId="18" xfId="2" applyNumberFormat="1" applyFont="1" applyBorder="1" applyAlignment="1">
      <alignment horizontal="right"/>
    </xf>
    <xf numFmtId="3" fontId="46" fillId="32" borderId="58" xfId="1" applyNumberFormat="1" applyFont="1" applyFill="1" applyBorder="1" applyAlignment="1">
      <alignment horizontal="right"/>
    </xf>
    <xf numFmtId="3" fontId="46" fillId="16" borderId="6" xfId="1" applyNumberFormat="1" applyFont="1" applyFill="1" applyBorder="1" applyAlignment="1">
      <alignment horizontal="right"/>
    </xf>
    <xf numFmtId="3" fontId="46" fillId="16" borderId="0" xfId="0" applyNumberFormat="1" applyFont="1" applyFill="1"/>
    <xf numFmtId="3" fontId="51" fillId="32" borderId="58" xfId="1" applyNumberFormat="1" applyFont="1" applyFill="1" applyBorder="1" applyAlignment="1">
      <alignment horizontal="right"/>
    </xf>
    <xf numFmtId="4" fontId="51" fillId="32" borderId="58" xfId="1" applyNumberFormat="1" applyFont="1" applyFill="1" applyBorder="1" applyAlignment="1">
      <alignment horizontal="right"/>
    </xf>
    <xf numFmtId="3" fontId="54" fillId="0" borderId="7" xfId="0" applyNumberFormat="1" applyFont="1" applyBorder="1" applyAlignment="1">
      <alignment horizontal="center" vertical="center" wrapText="1"/>
    </xf>
    <xf numFmtId="3" fontId="55" fillId="0" borderId="7" xfId="0" applyNumberFormat="1" applyFont="1" applyBorder="1" applyAlignment="1">
      <alignment horizontal="center" vertical="center" wrapText="1"/>
    </xf>
    <xf numFmtId="3" fontId="16" fillId="0" borderId="20" xfId="0" applyNumberFormat="1" applyFont="1" applyBorder="1" applyAlignment="1">
      <alignment horizontal="center"/>
    </xf>
    <xf numFmtId="3" fontId="16" fillId="0" borderId="15" xfId="0" applyNumberFormat="1" applyFont="1" applyBorder="1" applyAlignment="1">
      <alignment horizontal="center"/>
    </xf>
    <xf numFmtId="3" fontId="46" fillId="0" borderId="6" xfId="1" applyNumberFormat="1" applyFont="1" applyBorder="1" applyAlignment="1">
      <alignment horizontal="right"/>
    </xf>
    <xf numFmtId="3" fontId="48" fillId="0" borderId="0" xfId="1" applyNumberFormat="1" applyFont="1" applyBorder="1" applyAlignment="1">
      <alignment horizontal="right"/>
    </xf>
    <xf numFmtId="10" fontId="48" fillId="0" borderId="0" xfId="2" applyNumberFormat="1" applyFont="1" applyBorder="1" applyAlignment="1">
      <alignment horizontal="right"/>
    </xf>
    <xf numFmtId="3" fontId="46" fillId="0" borderId="6" xfId="0" applyNumberFormat="1" applyFont="1" applyBorder="1" applyAlignment="1">
      <alignment horizontal="right"/>
    </xf>
    <xf numFmtId="3" fontId="46" fillId="0" borderId="7" xfId="0" applyNumberFormat="1" applyFont="1" applyBorder="1" applyAlignment="1">
      <alignment horizontal="right"/>
    </xf>
    <xf numFmtId="3" fontId="46" fillId="0" borderId="59" xfId="0" applyNumberFormat="1" applyFont="1" applyBorder="1" applyAlignment="1">
      <alignment horizontal="right"/>
    </xf>
    <xf numFmtId="3" fontId="46" fillId="0" borderId="7" xfId="1" applyNumberFormat="1" applyFont="1" applyBorder="1" applyAlignment="1">
      <alignment horizontal="right"/>
    </xf>
    <xf numFmtId="10" fontId="48" fillId="0" borderId="6" xfId="2" applyNumberFormat="1" applyFont="1" applyBorder="1" applyAlignment="1">
      <alignment horizontal="right"/>
    </xf>
    <xf numFmtId="10" fontId="48" fillId="0" borderId="8" xfId="2" applyNumberFormat="1" applyFont="1" applyBorder="1" applyAlignment="1">
      <alignment horizontal="right"/>
    </xf>
    <xf numFmtId="3" fontId="48" fillId="0" borderId="8" xfId="1" applyNumberFormat="1" applyFont="1" applyBorder="1" applyAlignment="1">
      <alignment horizontal="right"/>
    </xf>
    <xf numFmtId="3" fontId="48" fillId="0" borderId="7" xfId="1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left"/>
    </xf>
    <xf numFmtId="10" fontId="48" fillId="0" borderId="11" xfId="2" applyNumberFormat="1" applyFont="1" applyBorder="1" applyAlignment="1">
      <alignment horizontal="right"/>
    </xf>
    <xf numFmtId="10" fontId="48" fillId="0" borderId="10" xfId="2" applyNumberFormat="1" applyFont="1" applyBorder="1" applyAlignment="1">
      <alignment horizontal="right"/>
    </xf>
    <xf numFmtId="10" fontId="48" fillId="0" borderId="4" xfId="2" applyNumberFormat="1" applyFont="1" applyBorder="1" applyAlignment="1">
      <alignment horizontal="right"/>
    </xf>
    <xf numFmtId="3" fontId="48" fillId="0" borderId="1" xfId="1" applyNumberFormat="1" applyFont="1" applyBorder="1" applyAlignment="1">
      <alignment horizontal="right"/>
    </xf>
    <xf numFmtId="10" fontId="48" fillId="0" borderId="3" xfId="2" applyNumberFormat="1" applyFont="1" applyBorder="1" applyAlignment="1">
      <alignment horizontal="right"/>
    </xf>
    <xf numFmtId="10" fontId="48" fillId="0" borderId="1" xfId="2" applyNumberFormat="1" applyFont="1" applyBorder="1" applyAlignment="1">
      <alignment horizontal="right"/>
    </xf>
    <xf numFmtId="10" fontId="48" fillId="0" borderId="57" xfId="2" applyNumberFormat="1" applyFont="1" applyBorder="1" applyAlignment="1">
      <alignment horizontal="right"/>
    </xf>
    <xf numFmtId="3" fontId="46" fillId="0" borderId="6" xfId="1" applyNumberFormat="1" applyFont="1" applyFill="1" applyBorder="1" applyAlignment="1">
      <alignment horizontal="right"/>
    </xf>
    <xf numFmtId="3" fontId="46" fillId="0" borderId="7" xfId="1" applyNumberFormat="1" applyFont="1" applyFill="1" applyBorder="1" applyAlignment="1">
      <alignment horizontal="right"/>
    </xf>
    <xf numFmtId="3" fontId="48" fillId="0" borderId="10" xfId="1" applyNumberFormat="1" applyFont="1" applyBorder="1" applyAlignment="1">
      <alignment horizontal="right"/>
    </xf>
    <xf numFmtId="3" fontId="48" fillId="0" borderId="9" xfId="1" applyNumberFormat="1" applyFont="1" applyBorder="1" applyAlignment="1">
      <alignment horizontal="right"/>
    </xf>
    <xf numFmtId="3" fontId="48" fillId="0" borderId="5" xfId="1" applyNumberFormat="1" applyFont="1" applyBorder="1" applyAlignment="1">
      <alignment horizontal="right"/>
    </xf>
    <xf numFmtId="3" fontId="48" fillId="0" borderId="11" xfId="1" applyNumberFormat="1" applyFont="1" applyBorder="1" applyAlignment="1">
      <alignment horizontal="right"/>
    </xf>
    <xf numFmtId="3" fontId="48" fillId="0" borderId="6" xfId="1" applyNumberFormat="1" applyFont="1" applyBorder="1" applyAlignment="1">
      <alignment horizontal="right"/>
    </xf>
    <xf numFmtId="3" fontId="48" fillId="0" borderId="4" xfId="1" applyNumberFormat="1" applyFont="1" applyBorder="1" applyAlignment="1">
      <alignment horizontal="right"/>
    </xf>
    <xf numFmtId="3" fontId="48" fillId="0" borderId="2" xfId="1" applyNumberFormat="1" applyFont="1" applyBorder="1" applyAlignment="1">
      <alignment horizontal="right"/>
    </xf>
    <xf numFmtId="3" fontId="48" fillId="0" borderId="3" xfId="1" applyNumberFormat="1" applyFont="1" applyBorder="1" applyAlignment="1">
      <alignment horizontal="right"/>
    </xf>
    <xf numFmtId="4" fontId="46" fillId="0" borderId="61" xfId="1" applyNumberFormat="1" applyFont="1" applyBorder="1" applyAlignment="1">
      <alignment horizontal="right"/>
    </xf>
    <xf numFmtId="3" fontId="54" fillId="0" borderId="1" xfId="0" applyNumberFormat="1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/>
    </xf>
    <xf numFmtId="0" fontId="56" fillId="0" borderId="0" xfId="0" applyFont="1"/>
    <xf numFmtId="0" fontId="57" fillId="0" borderId="63" xfId="0" applyFont="1" applyBorder="1"/>
    <xf numFmtId="10" fontId="57" fillId="0" borderId="24" xfId="0" applyNumberFormat="1" applyFont="1" applyBorder="1"/>
    <xf numFmtId="10" fontId="57" fillId="0" borderId="18" xfId="0" applyNumberFormat="1" applyFont="1" applyBorder="1"/>
    <xf numFmtId="10" fontId="57" fillId="0" borderId="18" xfId="2" applyNumberFormat="1" applyFont="1" applyBorder="1"/>
    <xf numFmtId="174" fontId="57" fillId="0" borderId="18" xfId="1" applyNumberFormat="1" applyFont="1" applyBorder="1"/>
    <xf numFmtId="0" fontId="57" fillId="0" borderId="60" xfId="0" applyFont="1" applyBorder="1"/>
    <xf numFmtId="174" fontId="56" fillId="0" borderId="0" xfId="1" applyNumberFormat="1" applyFont="1"/>
    <xf numFmtId="10" fontId="57" fillId="0" borderId="0" xfId="0" applyNumberFormat="1" applyFont="1"/>
    <xf numFmtId="0" fontId="57" fillId="0" borderId="0" xfId="0" applyFont="1"/>
    <xf numFmtId="174" fontId="57" fillId="0" borderId="0" xfId="1" applyNumberFormat="1" applyFont="1" applyFill="1" applyBorder="1"/>
    <xf numFmtId="0" fontId="23" fillId="0" borderId="0" xfId="0" applyFont="1"/>
    <xf numFmtId="10" fontId="28" fillId="0" borderId="0" xfId="8" applyNumberFormat="1"/>
    <xf numFmtId="0" fontId="28" fillId="24" borderId="0" xfId="8" applyFill="1"/>
    <xf numFmtId="0" fontId="29" fillId="24" borderId="31" xfId="8" applyFont="1" applyFill="1" applyBorder="1"/>
    <xf numFmtId="0" fontId="35" fillId="24" borderId="31" xfId="8" applyFont="1" applyFill="1" applyBorder="1"/>
    <xf numFmtId="3" fontId="35" fillId="24" borderId="50" xfId="8" applyNumberFormat="1" applyFont="1" applyFill="1" applyBorder="1"/>
    <xf numFmtId="10" fontId="35" fillId="24" borderId="13" xfId="9" applyNumberFormat="1" applyFont="1" applyFill="1" applyBorder="1"/>
    <xf numFmtId="3" fontId="35" fillId="24" borderId="31" xfId="8" applyNumberFormat="1" applyFont="1" applyFill="1" applyBorder="1"/>
    <xf numFmtId="3" fontId="35" fillId="24" borderId="0" xfId="8" applyNumberFormat="1" applyFont="1" applyFill="1"/>
    <xf numFmtId="0" fontId="30" fillId="21" borderId="34" xfId="8" applyFont="1" applyFill="1" applyBorder="1"/>
    <xf numFmtId="0" fontId="36" fillId="21" borderId="31" xfId="8" applyFont="1" applyFill="1" applyBorder="1"/>
    <xf numFmtId="0" fontId="36" fillId="21" borderId="49" xfId="8" applyFont="1" applyFill="1" applyBorder="1"/>
    <xf numFmtId="0" fontId="36" fillId="21" borderId="48" xfId="8" applyFont="1" applyFill="1" applyBorder="1"/>
    <xf numFmtId="10" fontId="36" fillId="21" borderId="56" xfId="9" applyNumberFormat="1" applyFont="1" applyFill="1" applyBorder="1"/>
    <xf numFmtId="0" fontId="28" fillId="21" borderId="31" xfId="8" applyFill="1" applyBorder="1"/>
    <xf numFmtId="3" fontId="34" fillId="21" borderId="50" xfId="8" applyNumberFormat="1" applyFont="1" applyFill="1" applyBorder="1"/>
    <xf numFmtId="10" fontId="0" fillId="21" borderId="13" xfId="9" applyNumberFormat="1" applyFont="1" applyFill="1" applyBorder="1"/>
    <xf numFmtId="168" fontId="7" fillId="21" borderId="18" xfId="0" applyNumberFormat="1" applyFont="1" applyFill="1" applyBorder="1" applyAlignment="1">
      <alignment horizontal="center"/>
    </xf>
    <xf numFmtId="168" fontId="28" fillId="21" borderId="0" xfId="8" applyNumberFormat="1" applyFill="1"/>
    <xf numFmtId="168" fontId="28" fillId="21" borderId="50" xfId="8" applyNumberFormat="1" applyFill="1" applyBorder="1"/>
    <xf numFmtId="0" fontId="28" fillId="21" borderId="0" xfId="8" applyFill="1"/>
    <xf numFmtId="10" fontId="0" fillId="21" borderId="6" xfId="9" applyNumberFormat="1" applyFont="1" applyFill="1" applyBorder="1"/>
    <xf numFmtId="10" fontId="0" fillId="21" borderId="0" xfId="9" applyNumberFormat="1" applyFont="1" applyFill="1" applyBorder="1"/>
    <xf numFmtId="10" fontId="0" fillId="20" borderId="56" xfId="2" applyNumberFormat="1" applyFont="1" applyFill="1" applyBorder="1"/>
    <xf numFmtId="3" fontId="28" fillId="25" borderId="5" xfId="8" applyNumberFormat="1" applyFill="1" applyBorder="1"/>
    <xf numFmtId="4" fontId="8" fillId="0" borderId="18" xfId="0" applyNumberFormat="1" applyFont="1" applyBorder="1"/>
    <xf numFmtId="4" fontId="46" fillId="0" borderId="0" xfId="1" applyNumberFormat="1" applyFont="1" applyBorder="1" applyAlignment="1">
      <alignment horizontal="right"/>
    </xf>
    <xf numFmtId="4" fontId="46" fillId="0" borderId="58" xfId="1" applyNumberFormat="1" applyFont="1" applyBorder="1" applyAlignment="1">
      <alignment horizontal="right"/>
    </xf>
    <xf numFmtId="0" fontId="59" fillId="0" borderId="0" xfId="0" applyFont="1"/>
    <xf numFmtId="0" fontId="60" fillId="0" borderId="0" xfId="10"/>
    <xf numFmtId="4" fontId="33" fillId="13" borderId="55" xfId="8" applyNumberFormat="1" applyFont="1" applyFill="1" applyBorder="1"/>
    <xf numFmtId="3" fontId="28" fillId="28" borderId="5" xfId="8" applyNumberFormat="1" applyFill="1" applyBorder="1"/>
    <xf numFmtId="9" fontId="0" fillId="5" borderId="0" xfId="9" applyFont="1" applyFill="1"/>
    <xf numFmtId="0" fontId="28" fillId="0" borderId="20" xfId="8" applyBorder="1"/>
    <xf numFmtId="10" fontId="35" fillId="21" borderId="16" xfId="9" applyNumberFormat="1" applyFont="1" applyFill="1" applyBorder="1"/>
    <xf numFmtId="0" fontId="35" fillId="21" borderId="20" xfId="8" applyFont="1" applyFill="1" applyBorder="1"/>
    <xf numFmtId="3" fontId="35" fillId="21" borderId="15" xfId="8" applyNumberFormat="1" applyFont="1" applyFill="1" applyBorder="1"/>
    <xf numFmtId="0" fontId="29" fillId="21" borderId="20" xfId="8" applyFont="1" applyFill="1" applyBorder="1"/>
    <xf numFmtId="10" fontId="28" fillId="21" borderId="0" xfId="2" applyNumberFormat="1" applyFont="1" applyFill="1"/>
    <xf numFmtId="3" fontId="28" fillId="21" borderId="0" xfId="8" applyNumberFormat="1" applyFill="1"/>
    <xf numFmtId="10" fontId="0" fillId="21" borderId="56" xfId="9" applyNumberFormat="1" applyFont="1" applyFill="1" applyBorder="1"/>
    <xf numFmtId="10" fontId="28" fillId="21" borderId="48" xfId="2" applyNumberFormat="1" applyFont="1" applyFill="1" applyBorder="1"/>
    <xf numFmtId="168" fontId="7" fillId="21" borderId="17" xfId="0" applyNumberFormat="1" applyFont="1" applyFill="1" applyBorder="1" applyAlignment="1">
      <alignment horizontal="center"/>
    </xf>
    <xf numFmtId="9" fontId="28" fillId="21" borderId="0" xfId="2" applyFont="1" applyFill="1"/>
    <xf numFmtId="3" fontId="34" fillId="21" borderId="49" xfId="8" applyNumberFormat="1" applyFont="1" applyFill="1" applyBorder="1"/>
    <xf numFmtId="10" fontId="28" fillId="21" borderId="31" xfId="2" applyNumberFormat="1" applyFont="1" applyFill="1" applyBorder="1"/>
    <xf numFmtId="3" fontId="28" fillId="21" borderId="50" xfId="8" applyNumberFormat="1" applyFill="1" applyBorder="1"/>
    <xf numFmtId="9" fontId="28" fillId="21" borderId="31" xfId="2" applyFont="1" applyFill="1" applyBorder="1"/>
    <xf numFmtId="3" fontId="28" fillId="0" borderId="50" xfId="8" applyNumberFormat="1" applyBorder="1"/>
    <xf numFmtId="3" fontId="28" fillId="11" borderId="5" xfId="8" applyNumberFormat="1" applyFill="1" applyBorder="1"/>
    <xf numFmtId="3" fontId="28" fillId="11" borderId="49" xfId="8" applyNumberFormat="1" applyFill="1" applyBorder="1"/>
    <xf numFmtId="0" fontId="28" fillId="11" borderId="48" xfId="8" applyFill="1" applyBorder="1"/>
    <xf numFmtId="0" fontId="28" fillId="10" borderId="31" xfId="8" applyFill="1" applyBorder="1"/>
    <xf numFmtId="4" fontId="28" fillId="10" borderId="50" xfId="8" applyNumberFormat="1" applyFill="1" applyBorder="1"/>
    <xf numFmtId="4" fontId="28" fillId="9" borderId="5" xfId="8" applyNumberFormat="1" applyFill="1" applyBorder="1"/>
    <xf numFmtId="0" fontId="28" fillId="9" borderId="0" xfId="8" applyFill="1"/>
    <xf numFmtId="4" fontId="28" fillId="9" borderId="49" xfId="8" applyNumberFormat="1" applyFill="1" applyBorder="1"/>
    <xf numFmtId="0" fontId="28" fillId="9" borderId="48" xfId="8" applyFill="1" applyBorder="1"/>
    <xf numFmtId="3" fontId="28" fillId="9" borderId="48" xfId="8" applyNumberFormat="1" applyFill="1" applyBorder="1"/>
    <xf numFmtId="3" fontId="28" fillId="9" borderId="49" xfId="8" applyNumberFormat="1" applyFill="1" applyBorder="1"/>
    <xf numFmtId="0" fontId="28" fillId="0" borderId="48" xfId="8" applyBorder="1"/>
    <xf numFmtId="10" fontId="28" fillId="20" borderId="0" xfId="8" applyNumberFormat="1" applyFill="1"/>
    <xf numFmtId="0" fontId="28" fillId="25" borderId="0" xfId="8" applyFill="1"/>
    <xf numFmtId="4" fontId="28" fillId="25" borderId="5" xfId="8" applyNumberFormat="1" applyFill="1" applyBorder="1"/>
    <xf numFmtId="4" fontId="28" fillId="20" borderId="48" xfId="8" applyNumberFormat="1" applyFill="1" applyBorder="1"/>
    <xf numFmtId="4" fontId="28" fillId="25" borderId="49" xfId="8" applyNumberFormat="1" applyFill="1" applyBorder="1"/>
    <xf numFmtId="10" fontId="28" fillId="20" borderId="48" xfId="2" applyNumberFormat="1" applyFont="1" applyFill="1" applyBorder="1"/>
    <xf numFmtId="3" fontId="28" fillId="25" borderId="49" xfId="8" applyNumberFormat="1" applyFill="1" applyBorder="1"/>
    <xf numFmtId="0" fontId="28" fillId="25" borderId="48" xfId="8" applyFill="1" applyBorder="1"/>
    <xf numFmtId="0" fontId="28" fillId="25" borderId="31" xfId="8" applyFill="1" applyBorder="1"/>
    <xf numFmtId="0" fontId="28" fillId="25" borderId="50" xfId="8" applyFill="1" applyBorder="1"/>
    <xf numFmtId="1" fontId="28" fillId="0" borderId="0" xfId="8" applyNumberFormat="1"/>
    <xf numFmtId="1" fontId="28" fillId="0" borderId="5" xfId="8" applyNumberFormat="1" applyBorder="1"/>
    <xf numFmtId="1" fontId="28" fillId="0" borderId="46" xfId="8" applyNumberFormat="1" applyBorder="1"/>
    <xf numFmtId="4" fontId="28" fillId="0" borderId="47" xfId="8" applyNumberFormat="1" applyBorder="1"/>
    <xf numFmtId="1" fontId="28" fillId="0" borderId="47" xfId="8" applyNumberFormat="1" applyBorder="1"/>
    <xf numFmtId="0" fontId="28" fillId="0" borderId="46" xfId="8" applyBorder="1"/>
    <xf numFmtId="4" fontId="28" fillId="0" borderId="5" xfId="8" applyNumberFormat="1" applyBorder="1"/>
    <xf numFmtId="0" fontId="28" fillId="0" borderId="5" xfId="8" applyBorder="1"/>
    <xf numFmtId="0" fontId="28" fillId="0" borderId="0" xfId="8" applyAlignment="1">
      <alignment horizontal="left"/>
    </xf>
    <xf numFmtId="0" fontId="28" fillId="0" borderId="48" xfId="8" applyBorder="1" applyAlignment="1">
      <alignment horizontal="left"/>
    </xf>
    <xf numFmtId="3" fontId="50" fillId="33" borderId="15" xfId="0" applyNumberFormat="1" applyFont="1" applyFill="1" applyBorder="1"/>
    <xf numFmtId="3" fontId="50" fillId="5" borderId="20" xfId="0" applyNumberFormat="1" applyFont="1" applyFill="1" applyBorder="1"/>
    <xf numFmtId="0" fontId="0" fillId="0" borderId="0" xfId="0" applyAlignment="1">
      <alignment horizontal="center"/>
    </xf>
    <xf numFmtId="4" fontId="0" fillId="0" borderId="18" xfId="0" applyNumberFormat="1" applyBorder="1"/>
    <xf numFmtId="2" fontId="0" fillId="0" borderId="18" xfId="0" applyNumberFormat="1" applyBorder="1"/>
    <xf numFmtId="175" fontId="0" fillId="0" borderId="18" xfId="0" applyNumberFormat="1" applyBorder="1"/>
    <xf numFmtId="176" fontId="0" fillId="0" borderId="18" xfId="0" applyNumberFormat="1" applyBorder="1"/>
    <xf numFmtId="0" fontId="3" fillId="32" borderId="18" xfId="0" applyFont="1" applyFill="1" applyBorder="1"/>
    <xf numFmtId="0" fontId="0" fillId="18" borderId="18" xfId="0" applyFill="1" applyBorder="1" applyAlignment="1">
      <alignment horizontal="left"/>
    </xf>
    <xf numFmtId="0" fontId="58" fillId="33" borderId="25" xfId="0" applyFont="1" applyFill="1" applyBorder="1" applyAlignment="1">
      <alignment horizontal="center"/>
    </xf>
    <xf numFmtId="0" fontId="58" fillId="33" borderId="26" xfId="0" applyFont="1" applyFill="1" applyBorder="1" applyAlignment="1">
      <alignment horizontal="center"/>
    </xf>
    <xf numFmtId="0" fontId="23" fillId="6" borderId="64" xfId="0" applyFont="1" applyFill="1" applyBorder="1"/>
    <xf numFmtId="174" fontId="62" fillId="6" borderId="63" xfId="1" applyNumberFormat="1" applyFont="1" applyFill="1" applyBorder="1"/>
    <xf numFmtId="10" fontId="62" fillId="6" borderId="62" xfId="0" applyNumberFormat="1" applyFont="1" applyFill="1" applyBorder="1"/>
    <xf numFmtId="0" fontId="58" fillId="33" borderId="65" xfId="0" applyFont="1" applyFill="1" applyBorder="1"/>
    <xf numFmtId="3" fontId="18" fillId="8" borderId="14" xfId="0" applyNumberFormat="1" applyFont="1" applyFill="1" applyBorder="1"/>
    <xf numFmtId="3" fontId="18" fillId="4" borderId="20" xfId="0" applyNumberFormat="1" applyFont="1" applyFill="1" applyBorder="1"/>
    <xf numFmtId="3" fontId="16" fillId="0" borderId="9" xfId="0" applyNumberFormat="1" applyFont="1" applyBorder="1"/>
    <xf numFmtId="3" fontId="16" fillId="0" borderId="9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8" fillId="6" borderId="14" xfId="0" applyNumberFormat="1" applyFont="1" applyFill="1" applyBorder="1"/>
    <xf numFmtId="3" fontId="50" fillId="32" borderId="14" xfId="0" applyNumberFormat="1" applyFont="1" applyFill="1" applyBorder="1"/>
    <xf numFmtId="3" fontId="50" fillId="17" borderId="14" xfId="0" applyNumberFormat="1" applyFont="1" applyFill="1" applyBorder="1"/>
    <xf numFmtId="10" fontId="48" fillId="0" borderId="14" xfId="2" applyNumberFormat="1" applyFont="1" applyBorder="1" applyAlignment="1">
      <alignment horizontal="right"/>
    </xf>
    <xf numFmtId="3" fontId="48" fillId="0" borderId="14" xfId="1" applyNumberFormat="1" applyFont="1" applyBorder="1" applyAlignment="1">
      <alignment horizontal="right"/>
    </xf>
    <xf numFmtId="3" fontId="16" fillId="0" borderId="14" xfId="1" applyNumberFormat="1" applyFont="1" applyBorder="1" applyAlignment="1">
      <alignment horizontal="right"/>
    </xf>
    <xf numFmtId="10" fontId="48" fillId="0" borderId="16" xfId="2" applyNumberFormat="1" applyFont="1" applyBorder="1" applyAlignment="1">
      <alignment horizontal="right"/>
    </xf>
    <xf numFmtId="3" fontId="18" fillId="18" borderId="1" xfId="0" applyNumberFormat="1" applyFont="1" applyFill="1" applyBorder="1"/>
    <xf numFmtId="3" fontId="16" fillId="0" borderId="2" xfId="0" applyNumberFormat="1" applyFont="1" applyBorder="1"/>
    <xf numFmtId="3" fontId="48" fillId="0" borderId="14" xfId="1" applyNumberFormat="1" applyFont="1" applyBorder="1" applyAlignment="1">
      <alignment horizontal="center"/>
    </xf>
    <xf numFmtId="10" fontId="48" fillId="0" borderId="14" xfId="2" applyNumberFormat="1" applyFont="1" applyBorder="1" applyAlignment="1">
      <alignment horizontal="center"/>
    </xf>
    <xf numFmtId="3" fontId="63" fillId="17" borderId="14" xfId="0" applyNumberFormat="1" applyFont="1" applyFill="1" applyBorder="1"/>
    <xf numFmtId="10" fontId="49" fillId="0" borderId="14" xfId="2" applyNumberFormat="1" applyFont="1" applyBorder="1" applyAlignment="1">
      <alignment horizontal="right"/>
    </xf>
    <xf numFmtId="3" fontId="52" fillId="11" borderId="0" xfId="0" applyNumberFormat="1" applyFont="1" applyFill="1"/>
    <xf numFmtId="3" fontId="16" fillId="11" borderId="6" xfId="0" applyNumberFormat="1" applyFont="1" applyFill="1" applyBorder="1" applyAlignment="1">
      <alignment horizontal="right"/>
    </xf>
    <xf numFmtId="3" fontId="50" fillId="11" borderId="0" xfId="0" applyNumberFormat="1" applyFont="1" applyFill="1"/>
    <xf numFmtId="3" fontId="52" fillId="34" borderId="0" xfId="0" applyNumberFormat="1" applyFont="1" applyFill="1"/>
    <xf numFmtId="3" fontId="16" fillId="34" borderId="6" xfId="0" applyNumberFormat="1" applyFont="1" applyFill="1" applyBorder="1" applyAlignment="1">
      <alignment horizontal="right"/>
    </xf>
    <xf numFmtId="3" fontId="50" fillId="34" borderId="0" xfId="0" applyNumberFormat="1" applyFont="1" applyFill="1"/>
    <xf numFmtId="3" fontId="52" fillId="9" borderId="0" xfId="0" applyNumberFormat="1" applyFont="1" applyFill="1"/>
    <xf numFmtId="3" fontId="16" fillId="9" borderId="6" xfId="0" applyNumberFormat="1" applyFont="1" applyFill="1" applyBorder="1" applyAlignment="1">
      <alignment horizontal="right"/>
    </xf>
    <xf numFmtId="3" fontId="50" fillId="9" borderId="0" xfId="0" applyNumberFormat="1" applyFont="1" applyFill="1"/>
    <xf numFmtId="3" fontId="50" fillId="15" borderId="13" xfId="0" applyNumberFormat="1" applyFont="1" applyFill="1" applyBorder="1" applyAlignment="1">
      <alignment horizontal="right"/>
    </xf>
    <xf numFmtId="3" fontId="50" fillId="15" borderId="13" xfId="1" applyNumberFormat="1" applyFont="1" applyFill="1" applyBorder="1" applyAlignment="1">
      <alignment horizontal="right"/>
    </xf>
    <xf numFmtId="3" fontId="50" fillId="15" borderId="19" xfId="0" applyNumberFormat="1" applyFont="1" applyFill="1" applyBorder="1" applyAlignment="1">
      <alignment horizontal="right"/>
    </xf>
    <xf numFmtId="3" fontId="52" fillId="35" borderId="5" xfId="0" applyNumberFormat="1" applyFont="1" applyFill="1" applyBorder="1"/>
    <xf numFmtId="3" fontId="16" fillId="35" borderId="58" xfId="0" applyNumberFormat="1" applyFont="1" applyFill="1" applyBorder="1" applyAlignment="1">
      <alignment horizontal="right"/>
    </xf>
    <xf numFmtId="3" fontId="50" fillId="35" borderId="5" xfId="0" applyNumberFormat="1" applyFont="1" applyFill="1" applyBorder="1"/>
    <xf numFmtId="3" fontId="52" fillId="36" borderId="5" xfId="0" applyNumberFormat="1" applyFont="1" applyFill="1" applyBorder="1"/>
    <xf numFmtId="3" fontId="16" fillId="36" borderId="58" xfId="0" applyNumberFormat="1" applyFont="1" applyFill="1" applyBorder="1" applyAlignment="1">
      <alignment horizontal="right"/>
    </xf>
    <xf numFmtId="3" fontId="50" fillId="36" borderId="5" xfId="0" applyNumberFormat="1" applyFont="1" applyFill="1" applyBorder="1"/>
    <xf numFmtId="3" fontId="18" fillId="15" borderId="14" xfId="1" applyNumberFormat="1" applyFont="1" applyFill="1" applyBorder="1" applyAlignment="1">
      <alignment horizontal="right"/>
    </xf>
    <xf numFmtId="3" fontId="18" fillId="15" borderId="14" xfId="0" applyNumberFormat="1" applyFont="1" applyFill="1" applyBorder="1" applyAlignment="1">
      <alignment horizontal="right"/>
    </xf>
    <xf numFmtId="3" fontId="16" fillId="7" borderId="14" xfId="0" applyNumberFormat="1" applyFont="1" applyFill="1" applyBorder="1"/>
    <xf numFmtId="0" fontId="37" fillId="24" borderId="0" xfId="0" applyFont="1" applyFill="1" applyAlignment="1">
      <alignment horizontal="left" vertical="top"/>
    </xf>
    <xf numFmtId="0" fontId="38" fillId="24" borderId="0" xfId="0" applyFont="1" applyFill="1" applyAlignment="1">
      <alignment horizontal="left" vertical="top"/>
    </xf>
    <xf numFmtId="4" fontId="37" fillId="24" borderId="0" xfId="0" applyNumberFormat="1" applyFont="1" applyFill="1" applyAlignment="1">
      <alignment horizontal="left" vertical="top"/>
    </xf>
    <xf numFmtId="3" fontId="37" fillId="24" borderId="0" xfId="0" applyNumberFormat="1" applyFont="1" applyFill="1" applyAlignment="1">
      <alignment horizontal="left" vertical="top"/>
    </xf>
    <xf numFmtId="0" fontId="64" fillId="24" borderId="0" xfId="0" applyFont="1" applyFill="1" applyAlignment="1">
      <alignment horizontal="left" vertical="top"/>
    </xf>
    <xf numFmtId="0" fontId="37" fillId="24" borderId="46" xfId="0" applyFont="1" applyFill="1" applyBorder="1" applyAlignment="1">
      <alignment horizontal="left" vertical="top"/>
    </xf>
    <xf numFmtId="0" fontId="38" fillId="24" borderId="46" xfId="0" applyFont="1" applyFill="1" applyBorder="1" applyAlignment="1">
      <alignment horizontal="left" vertical="top"/>
    </xf>
    <xf numFmtId="4" fontId="37" fillId="24" borderId="46" xfId="0" applyNumberFormat="1" applyFont="1" applyFill="1" applyBorder="1" applyAlignment="1">
      <alignment horizontal="left" vertical="top"/>
    </xf>
    <xf numFmtId="0" fontId="37" fillId="24" borderId="31" xfId="0" applyFont="1" applyFill="1" applyBorder="1" applyAlignment="1">
      <alignment horizontal="left" vertical="top"/>
    </xf>
    <xf numFmtId="0" fontId="38" fillId="24" borderId="31" xfId="0" applyFont="1" applyFill="1" applyBorder="1" applyAlignment="1">
      <alignment horizontal="left" vertical="top"/>
    </xf>
    <xf numFmtId="4" fontId="37" fillId="24" borderId="31" xfId="0" applyNumberFormat="1" applyFont="1" applyFill="1" applyBorder="1" applyAlignment="1">
      <alignment horizontal="left" vertical="top"/>
    </xf>
    <xf numFmtId="0" fontId="40" fillId="24" borderId="46" xfId="0" applyFont="1" applyFill="1" applyBorder="1" applyAlignment="1">
      <alignment horizontal="left" vertical="top"/>
    </xf>
    <xf numFmtId="0" fontId="65" fillId="24" borderId="46" xfId="0" applyFont="1" applyFill="1" applyBorder="1" applyAlignment="1">
      <alignment horizontal="left" vertical="top"/>
    </xf>
    <xf numFmtId="0" fontId="66" fillId="24" borderId="46" xfId="0" applyFont="1" applyFill="1" applyBorder="1" applyAlignment="1">
      <alignment horizontal="left" vertical="top"/>
    </xf>
    <xf numFmtId="14" fontId="65" fillId="24" borderId="46" xfId="0" applyNumberFormat="1" applyFont="1" applyFill="1" applyBorder="1" applyAlignment="1">
      <alignment horizontal="left" vertical="top"/>
    </xf>
    <xf numFmtId="0" fontId="25" fillId="24" borderId="0" xfId="5" applyFill="1"/>
    <xf numFmtId="177" fontId="25" fillId="24" borderId="0" xfId="6" applyNumberFormat="1" applyFill="1"/>
    <xf numFmtId="9" fontId="25" fillId="24" borderId="0" xfId="5" applyNumberFormat="1" applyFill="1"/>
    <xf numFmtId="0" fontId="25" fillId="32" borderId="0" xfId="5" applyFill="1" applyAlignment="1">
      <alignment horizontal="center"/>
    </xf>
    <xf numFmtId="0" fontId="25" fillId="31" borderId="0" xfId="5" applyFill="1"/>
    <xf numFmtId="177" fontId="25" fillId="31" borderId="52" xfId="5" applyNumberFormat="1" applyFill="1" applyBorder="1"/>
    <xf numFmtId="177" fontId="25" fillId="31" borderId="51" xfId="5" applyNumberFormat="1" applyFill="1" applyBorder="1"/>
    <xf numFmtId="0" fontId="25" fillId="16" borderId="0" xfId="5" applyFill="1"/>
    <xf numFmtId="177" fontId="25" fillId="16" borderId="0" xfId="5" applyNumberFormat="1" applyFill="1"/>
    <xf numFmtId="0" fontId="25" fillId="18" borderId="0" xfId="5" applyFill="1"/>
    <xf numFmtId="177" fontId="26" fillId="18" borderId="0" xfId="6" applyNumberFormat="1" applyFont="1" applyFill="1"/>
    <xf numFmtId="0" fontId="25" fillId="8" borderId="0" xfId="5" applyFill="1"/>
    <xf numFmtId="177" fontId="25" fillId="8" borderId="0" xfId="5" applyNumberFormat="1" applyFill="1"/>
    <xf numFmtId="0" fontId="25" fillId="17" borderId="0" xfId="5" applyFill="1"/>
    <xf numFmtId="177" fontId="25" fillId="17" borderId="0" xfId="5" applyNumberFormat="1" applyFill="1"/>
    <xf numFmtId="0" fontId="25" fillId="24" borderId="0" xfId="7" applyFill="1"/>
    <xf numFmtId="9" fontId="25" fillId="24" borderId="0" xfId="7" applyNumberFormat="1" applyFill="1"/>
    <xf numFmtId="0" fontId="25" fillId="32" borderId="0" xfId="7" applyFill="1"/>
    <xf numFmtId="177" fontId="25" fillId="32" borderId="0" xfId="7" applyNumberFormat="1" applyFill="1"/>
    <xf numFmtId="4" fontId="46" fillId="0" borderId="59" xfId="1" applyNumberFormat="1" applyFont="1" applyBorder="1" applyAlignment="1">
      <alignment horizontal="right"/>
    </xf>
    <xf numFmtId="4" fontId="46" fillId="0" borderId="59" xfId="0" applyNumberFormat="1" applyFont="1" applyBorder="1" applyAlignment="1">
      <alignment horizontal="right"/>
    </xf>
    <xf numFmtId="4" fontId="46" fillId="0" borderId="58" xfId="0" applyNumberFormat="1" applyFont="1" applyBorder="1" applyAlignment="1">
      <alignment horizontal="right"/>
    </xf>
    <xf numFmtId="4" fontId="46" fillId="0" borderId="0" xfId="0" applyNumberFormat="1" applyFont="1" applyAlignment="1">
      <alignment horizontal="right"/>
    </xf>
    <xf numFmtId="4" fontId="46" fillId="0" borderId="39" xfId="1" applyNumberFormat="1" applyFont="1" applyBorder="1" applyAlignment="1">
      <alignment horizontal="right"/>
    </xf>
    <xf numFmtId="4" fontId="46" fillId="0" borderId="66" xfId="1" applyNumberFormat="1" applyFont="1" applyBorder="1" applyAlignment="1">
      <alignment horizontal="right"/>
    </xf>
    <xf numFmtId="4" fontId="46" fillId="0" borderId="11" xfId="1" applyNumberFormat="1" applyFont="1" applyBorder="1" applyAlignment="1">
      <alignment horizontal="right"/>
    </xf>
    <xf numFmtId="4" fontId="61" fillId="32" borderId="14" xfId="0" applyNumberFormat="1" applyFont="1" applyFill="1" applyBorder="1" applyAlignment="1">
      <alignment horizontal="right"/>
    </xf>
    <xf numFmtId="4" fontId="46" fillId="0" borderId="61" xfId="0" applyNumberFormat="1" applyFont="1" applyBorder="1" applyAlignment="1">
      <alignment horizontal="right"/>
    </xf>
    <xf numFmtId="4" fontId="46" fillId="0" borderId="67" xfId="0" applyNumberFormat="1" applyFont="1" applyBorder="1" applyAlignment="1">
      <alignment horizontal="right"/>
    </xf>
    <xf numFmtId="4" fontId="46" fillId="0" borderId="4" xfId="0" applyNumberFormat="1" applyFont="1" applyBorder="1" applyAlignment="1">
      <alignment horizontal="right"/>
    </xf>
    <xf numFmtId="4" fontId="46" fillId="0" borderId="39" xfId="0" applyNumberFormat="1" applyFont="1" applyBorder="1" applyAlignment="1">
      <alignment horizontal="right"/>
    </xf>
    <xf numFmtId="4" fontId="46" fillId="0" borderId="66" xfId="0" applyNumberFormat="1" applyFont="1" applyBorder="1" applyAlignment="1">
      <alignment horizontal="right"/>
    </xf>
    <xf numFmtId="4" fontId="46" fillId="0" borderId="11" xfId="0" applyNumberFormat="1" applyFont="1" applyBorder="1" applyAlignment="1">
      <alignment horizontal="right"/>
    </xf>
    <xf numFmtId="4" fontId="18" fillId="33" borderId="14" xfId="0" applyNumberFormat="1" applyFont="1" applyFill="1" applyBorder="1" applyAlignment="1">
      <alignment horizontal="right"/>
    </xf>
    <xf numFmtId="4" fontId="18" fillId="33" borderId="15" xfId="0" applyNumberFormat="1" applyFont="1" applyFill="1" applyBorder="1" applyAlignment="1">
      <alignment horizontal="right"/>
    </xf>
    <xf numFmtId="4" fontId="46" fillId="0" borderId="1" xfId="1" applyNumberFormat="1" applyFont="1" applyBorder="1" applyAlignment="1">
      <alignment horizontal="right"/>
    </xf>
    <xf numFmtId="4" fontId="46" fillId="0" borderId="6" xfId="1" applyNumberFormat="1" applyFont="1" applyBorder="1" applyAlignment="1">
      <alignment horizontal="right"/>
    </xf>
    <xf numFmtId="4" fontId="46" fillId="0" borderId="7" xfId="1" applyNumberFormat="1" applyFont="1" applyBorder="1" applyAlignment="1">
      <alignment horizontal="right"/>
    </xf>
    <xf numFmtId="4" fontId="46" fillId="0" borderId="8" xfId="1" applyNumberFormat="1" applyFont="1" applyBorder="1" applyAlignment="1">
      <alignment horizontal="right"/>
    </xf>
    <xf numFmtId="4" fontId="61" fillId="17" borderId="14" xfId="1" applyNumberFormat="1" applyFont="1" applyFill="1" applyBorder="1" applyAlignment="1">
      <alignment horizontal="right"/>
    </xf>
    <xf numFmtId="4" fontId="46" fillId="0" borderId="4" xfId="1" applyNumberFormat="1" applyFont="1" applyBorder="1" applyAlignment="1">
      <alignment horizontal="right"/>
    </xf>
    <xf numFmtId="4" fontId="46" fillId="0" borderId="8" xfId="0" applyNumberFormat="1" applyFont="1" applyBorder="1" applyAlignment="1">
      <alignment horizontal="right"/>
    </xf>
    <xf numFmtId="4" fontId="0" fillId="0" borderId="7" xfId="0" applyNumberFormat="1" applyBorder="1"/>
    <xf numFmtId="4" fontId="46" fillId="0" borderId="6" xfId="0" applyNumberFormat="1" applyFont="1" applyBorder="1" applyAlignment="1">
      <alignment horizontal="right"/>
    </xf>
    <xf numFmtId="4" fontId="61" fillId="17" borderId="14" xfId="0" applyNumberFormat="1" applyFont="1" applyFill="1" applyBorder="1" applyAlignment="1">
      <alignment horizontal="right"/>
    </xf>
    <xf numFmtId="4" fontId="46" fillId="0" borderId="14" xfId="1" applyNumberFormat="1" applyFont="1" applyBorder="1" applyAlignment="1">
      <alignment horizontal="right"/>
    </xf>
    <xf numFmtId="4" fontId="46" fillId="0" borderId="16" xfId="1" applyNumberFormat="1" applyFont="1" applyBorder="1" applyAlignment="1">
      <alignment horizontal="right"/>
    </xf>
    <xf numFmtId="4" fontId="46" fillId="0" borderId="7" xfId="0" applyNumberFormat="1" applyFont="1" applyBorder="1" applyAlignment="1">
      <alignment horizontal="right"/>
    </xf>
    <xf numFmtId="4" fontId="50" fillId="5" borderId="14" xfId="0" applyNumberFormat="1" applyFont="1" applyFill="1" applyBorder="1" applyAlignment="1">
      <alignment horizontal="right"/>
    </xf>
    <xf numFmtId="0" fontId="9" fillId="40" borderId="21" xfId="0" applyFont="1" applyFill="1" applyBorder="1" applyAlignment="1">
      <alignment wrapText="1"/>
    </xf>
    <xf numFmtId="0" fontId="9" fillId="40" borderId="22" xfId="0" applyFont="1" applyFill="1" applyBorder="1" applyAlignment="1">
      <alignment wrapText="1"/>
    </xf>
    <xf numFmtId="0" fontId="9" fillId="40" borderId="38" xfId="0" applyFont="1" applyFill="1" applyBorder="1" applyAlignment="1">
      <alignment wrapText="1"/>
    </xf>
    <xf numFmtId="0" fontId="67" fillId="2" borderId="39" xfId="0" applyFont="1" applyFill="1" applyBorder="1" applyAlignment="1">
      <alignment horizontal="center"/>
    </xf>
    <xf numFmtId="0" fontId="67" fillId="2" borderId="40" xfId="0" applyFont="1" applyFill="1" applyBorder="1" applyAlignment="1">
      <alignment horizontal="center"/>
    </xf>
    <xf numFmtId="0" fontId="67" fillId="2" borderId="41" xfId="0" applyFont="1" applyFill="1" applyBorder="1" applyAlignment="1">
      <alignment horizontal="center"/>
    </xf>
    <xf numFmtId="0" fontId="67" fillId="2" borderId="21" xfId="0" applyFont="1" applyFill="1" applyBorder="1" applyAlignment="1">
      <alignment horizontal="center"/>
    </xf>
    <xf numFmtId="0" fontId="5" fillId="39" borderId="22" xfId="0" applyFont="1" applyFill="1" applyBorder="1"/>
    <xf numFmtId="0" fontId="7" fillId="40" borderId="22" xfId="0" applyFont="1" applyFill="1" applyBorder="1"/>
    <xf numFmtId="0" fontId="5" fillId="38" borderId="22" xfId="0" applyFont="1" applyFill="1" applyBorder="1"/>
    <xf numFmtId="168" fontId="7" fillId="39" borderId="43" xfId="0" applyNumberFormat="1" applyFont="1" applyFill="1" applyBorder="1" applyAlignment="1">
      <alignment horizontal="center"/>
    </xf>
    <xf numFmtId="10" fontId="8" fillId="39" borderId="16" xfId="2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0" fillId="39" borderId="22" xfId="0" applyFont="1" applyFill="1" applyBorder="1" applyAlignment="1">
      <alignment wrapText="1"/>
    </xf>
    <xf numFmtId="0" fontId="10" fillId="40" borderId="2" xfId="0" applyFont="1" applyFill="1" applyBorder="1" applyAlignment="1">
      <alignment horizontal="center" wrapText="1"/>
    </xf>
    <xf numFmtId="0" fontId="10" fillId="40" borderId="3" xfId="0" applyFont="1" applyFill="1" applyBorder="1" applyAlignment="1">
      <alignment horizontal="center"/>
    </xf>
    <xf numFmtId="0" fontId="10" fillId="40" borderId="5" xfId="0" applyFont="1" applyFill="1" applyBorder="1" applyAlignment="1">
      <alignment wrapText="1"/>
    </xf>
    <xf numFmtId="0" fontId="10" fillId="40" borderId="0" xfId="0" applyFont="1" applyFill="1" applyAlignment="1">
      <alignment horizontal="center"/>
    </xf>
    <xf numFmtId="0" fontId="10" fillId="40" borderId="6" xfId="0" applyFont="1" applyFill="1" applyBorder="1" applyAlignment="1">
      <alignment horizontal="center"/>
    </xf>
    <xf numFmtId="0" fontId="10" fillId="40" borderId="9" xfId="0" applyFont="1" applyFill="1" applyBorder="1" applyAlignment="1">
      <alignment wrapText="1"/>
    </xf>
    <xf numFmtId="0" fontId="10" fillId="40" borderId="10" xfId="0" applyFont="1" applyFill="1" applyBorder="1" applyAlignment="1">
      <alignment horizontal="center"/>
    </xf>
    <xf numFmtId="0" fontId="67" fillId="14" borderId="0" xfId="0" applyFont="1" applyFill="1"/>
    <xf numFmtId="0" fontId="11" fillId="40" borderId="4" xfId="0" applyFont="1" applyFill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0" fontId="10" fillId="40" borderId="18" xfId="0" applyFont="1" applyFill="1" applyBorder="1" applyAlignment="1">
      <alignment horizontal="center"/>
    </xf>
    <xf numFmtId="0" fontId="67" fillId="40" borderId="18" xfId="0" applyFont="1" applyFill="1" applyBorder="1"/>
    <xf numFmtId="3" fontId="10" fillId="40" borderId="0" xfId="0" applyNumberFormat="1" applyFont="1" applyFill="1" applyAlignment="1">
      <alignment horizontal="center"/>
    </xf>
    <xf numFmtId="168" fontId="7" fillId="41" borderId="19" xfId="0" applyNumberFormat="1" applyFont="1" applyFill="1" applyBorder="1" applyAlignment="1">
      <alignment horizontal="center"/>
    </xf>
    <xf numFmtId="168" fontId="20" fillId="40" borderId="19" xfId="0" applyNumberFormat="1" applyFont="1" applyFill="1" applyBorder="1" applyAlignment="1">
      <alignment horizontal="center"/>
    </xf>
    <xf numFmtId="172" fontId="20" fillId="43" borderId="19" xfId="0" applyNumberFormat="1" applyFont="1" applyFill="1" applyBorder="1" applyAlignment="1">
      <alignment horizontal="center"/>
    </xf>
    <xf numFmtId="168" fontId="7" fillId="40" borderId="18" xfId="0" applyNumberFormat="1" applyFont="1" applyFill="1" applyBorder="1" applyAlignment="1">
      <alignment horizontal="center"/>
    </xf>
    <xf numFmtId="168" fontId="15" fillId="43" borderId="18" xfId="0" applyNumberFormat="1" applyFont="1" applyFill="1" applyBorder="1" applyAlignment="1">
      <alignment horizontal="center"/>
    </xf>
    <xf numFmtId="168" fontId="7" fillId="43" borderId="18" xfId="0" applyNumberFormat="1" applyFont="1" applyFill="1" applyBorder="1" applyAlignment="1">
      <alignment horizontal="center"/>
    </xf>
    <xf numFmtId="168" fontId="5" fillId="43" borderId="18" xfId="0" applyNumberFormat="1" applyFont="1" applyFill="1" applyBorder="1" applyAlignment="1">
      <alignment horizontal="center"/>
    </xf>
    <xf numFmtId="168" fontId="5" fillId="37" borderId="18" xfId="0" applyNumberFormat="1" applyFont="1" applyFill="1" applyBorder="1" applyAlignment="1">
      <alignment horizontal="center"/>
    </xf>
    <xf numFmtId="168" fontId="15" fillId="40" borderId="18" xfId="0" applyNumberFormat="1" applyFont="1" applyFill="1" applyBorder="1" applyAlignment="1">
      <alignment horizontal="center"/>
    </xf>
    <xf numFmtId="172" fontId="15" fillId="43" borderId="19" xfId="0" applyNumberFormat="1" applyFont="1" applyFill="1" applyBorder="1" applyAlignment="1">
      <alignment horizontal="center"/>
    </xf>
    <xf numFmtId="3" fontId="27" fillId="24" borderId="18" xfId="0" applyNumberFormat="1" applyFont="1" applyFill="1" applyBorder="1"/>
    <xf numFmtId="0" fontId="71" fillId="44" borderId="19" xfId="0" applyFont="1" applyFill="1" applyBorder="1" applyAlignment="1">
      <alignment horizontal="center"/>
    </xf>
    <xf numFmtId="0" fontId="6" fillId="0" borderId="0" xfId="0" applyFont="1"/>
    <xf numFmtId="0" fontId="9" fillId="24" borderId="7" xfId="0" applyFont="1" applyFill="1" applyBorder="1"/>
    <xf numFmtId="0" fontId="8" fillId="24" borderId="0" xfId="0" applyFont="1" applyFill="1"/>
    <xf numFmtId="0" fontId="0" fillId="24" borderId="0" xfId="0" applyFill="1"/>
    <xf numFmtId="0" fontId="11" fillId="24" borderId="14" xfId="0" applyFont="1" applyFill="1" applyBorder="1"/>
    <xf numFmtId="0" fontId="5" fillId="24" borderId="1" xfId="0" applyFont="1" applyFill="1" applyBorder="1" applyAlignment="1">
      <alignment horizontal="center"/>
    </xf>
    <xf numFmtId="0" fontId="12" fillId="24" borderId="28" xfId="0" applyFont="1" applyFill="1" applyBorder="1" applyAlignment="1">
      <alignment horizontal="center"/>
    </xf>
    <xf numFmtId="0" fontId="12" fillId="24" borderId="17" xfId="0" applyFont="1" applyFill="1" applyBorder="1" applyAlignment="1">
      <alignment horizontal="center"/>
    </xf>
    <xf numFmtId="0" fontId="0" fillId="24" borderId="18" xfId="0" applyFill="1" applyBorder="1" applyAlignment="1">
      <alignment horizontal="center"/>
    </xf>
    <xf numFmtId="0" fontId="10" fillId="24" borderId="19" xfId="0" applyFont="1" applyFill="1" applyBorder="1" applyAlignment="1">
      <alignment horizontal="center" vertical="center"/>
    </xf>
    <xf numFmtId="0" fontId="10" fillId="24" borderId="18" xfId="0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/>
    </xf>
    <xf numFmtId="10" fontId="9" fillId="24" borderId="19" xfId="2" applyNumberFormat="1" applyFont="1" applyFill="1" applyBorder="1" applyAlignment="1">
      <alignment horizontal="center"/>
    </xf>
    <xf numFmtId="0" fontId="7" fillId="24" borderId="19" xfId="0" applyFont="1" applyFill="1" applyBorder="1" applyAlignment="1">
      <alignment horizontal="center"/>
    </xf>
    <xf numFmtId="3" fontId="7" fillId="24" borderId="19" xfId="0" applyNumberFormat="1" applyFont="1" applyFill="1" applyBorder="1" applyAlignment="1">
      <alignment horizontal="center"/>
    </xf>
    <xf numFmtId="10" fontId="7" fillId="24" borderId="19" xfId="2" applyNumberFormat="1" applyFont="1" applyFill="1" applyBorder="1" applyAlignment="1">
      <alignment horizontal="center"/>
    </xf>
    <xf numFmtId="10" fontId="8" fillId="24" borderId="19" xfId="2" applyNumberFormat="1" applyFont="1" applyFill="1" applyBorder="1" applyAlignment="1">
      <alignment horizontal="center"/>
    </xf>
    <xf numFmtId="168" fontId="7" fillId="24" borderId="19" xfId="0" applyNumberFormat="1" applyFont="1" applyFill="1" applyBorder="1" applyAlignment="1">
      <alignment horizontal="center"/>
    </xf>
    <xf numFmtId="1" fontId="7" fillId="24" borderId="19" xfId="0" applyNumberFormat="1" applyFont="1" applyFill="1" applyBorder="1" applyAlignment="1">
      <alignment horizontal="center"/>
    </xf>
    <xf numFmtId="0" fontId="9" fillId="24" borderId="0" xfId="0" applyFont="1" applyFill="1"/>
    <xf numFmtId="1" fontId="9" fillId="24" borderId="0" xfId="0" applyNumberFormat="1" applyFont="1" applyFill="1" applyAlignment="1">
      <alignment horizontal="center"/>
    </xf>
    <xf numFmtId="0" fontId="11" fillId="24" borderId="18" xfId="0" applyFont="1" applyFill="1" applyBorder="1" applyAlignment="1">
      <alignment horizontal="center" vertical="center"/>
    </xf>
    <xf numFmtId="0" fontId="8" fillId="24" borderId="18" xfId="0" applyFont="1" applyFill="1" applyBorder="1" applyAlignment="1">
      <alignment horizontal="center" vertical="center"/>
    </xf>
    <xf numFmtId="167" fontId="9" fillId="24" borderId="19" xfId="0" applyNumberFormat="1" applyFont="1" applyFill="1" applyBorder="1"/>
    <xf numFmtId="10" fontId="9" fillId="24" borderId="19" xfId="0" applyNumberFormat="1" applyFont="1" applyFill="1" applyBorder="1"/>
    <xf numFmtId="10" fontId="69" fillId="24" borderId="19" xfId="0" applyNumberFormat="1" applyFont="1" applyFill="1" applyBorder="1"/>
    <xf numFmtId="9" fontId="14" fillId="24" borderId="10" xfId="0" applyNumberFormat="1" applyFont="1" applyFill="1" applyBorder="1" applyAlignment="1">
      <alignment horizontal="center" vertical="center" wrapText="1"/>
    </xf>
    <xf numFmtId="9" fontId="14" fillId="24" borderId="10" xfId="2" applyFont="1" applyFill="1" applyBorder="1" applyAlignment="1">
      <alignment horizontal="center" vertical="center" wrapText="1"/>
    </xf>
    <xf numFmtId="9" fontId="14" fillId="24" borderId="11" xfId="0" applyNumberFormat="1" applyFont="1" applyFill="1" applyBorder="1" applyAlignment="1">
      <alignment horizontal="center" vertical="center" wrapText="1"/>
    </xf>
    <xf numFmtId="0" fontId="11" fillId="24" borderId="1" xfId="0" applyFont="1" applyFill="1" applyBorder="1"/>
    <xf numFmtId="9" fontId="11" fillId="24" borderId="2" xfId="0" applyNumberFormat="1" applyFont="1" applyFill="1" applyBorder="1" applyAlignment="1">
      <alignment horizontal="center" vertical="center" wrapText="1"/>
    </xf>
    <xf numFmtId="9" fontId="11" fillId="24" borderId="3" xfId="0" applyNumberFormat="1" applyFont="1" applyFill="1" applyBorder="1" applyAlignment="1">
      <alignment horizontal="center" vertical="center" wrapText="1"/>
    </xf>
    <xf numFmtId="9" fontId="11" fillId="24" borderId="4" xfId="0" applyNumberFormat="1" applyFont="1" applyFill="1" applyBorder="1" applyAlignment="1">
      <alignment horizontal="center" vertical="center" wrapText="1"/>
    </xf>
    <xf numFmtId="0" fontId="11" fillId="24" borderId="7" xfId="0" applyFont="1" applyFill="1" applyBorder="1"/>
    <xf numFmtId="9" fontId="11" fillId="24" borderId="5" xfId="0" applyNumberFormat="1" applyFont="1" applyFill="1" applyBorder="1" applyAlignment="1">
      <alignment horizontal="center" vertical="center" wrapText="1"/>
    </xf>
    <xf numFmtId="9" fontId="11" fillId="24" borderId="0" xfId="0" applyNumberFormat="1" applyFont="1" applyFill="1" applyAlignment="1">
      <alignment horizontal="center" vertical="center" wrapText="1"/>
    </xf>
    <xf numFmtId="9" fontId="11" fillId="24" borderId="6" xfId="0" applyNumberFormat="1" applyFont="1" applyFill="1" applyBorder="1" applyAlignment="1">
      <alignment horizontal="center" vertical="center" wrapText="1"/>
    </xf>
    <xf numFmtId="0" fontId="11" fillId="24" borderId="8" xfId="0" applyFont="1" applyFill="1" applyBorder="1"/>
    <xf numFmtId="9" fontId="11" fillId="24" borderId="9" xfId="0" applyNumberFormat="1" applyFont="1" applyFill="1" applyBorder="1" applyAlignment="1">
      <alignment horizontal="center" vertical="center" wrapText="1"/>
    </xf>
    <xf numFmtId="9" fontId="11" fillId="24" borderId="10" xfId="0" applyNumberFormat="1" applyFont="1" applyFill="1" applyBorder="1" applyAlignment="1">
      <alignment horizontal="center" vertical="center" wrapText="1"/>
    </xf>
    <xf numFmtId="9" fontId="11" fillId="24" borderId="11" xfId="0" applyNumberFormat="1" applyFont="1" applyFill="1" applyBorder="1" applyAlignment="1">
      <alignment horizontal="center" vertical="center" wrapText="1"/>
    </xf>
    <xf numFmtId="0" fontId="11" fillId="24" borderId="2" xfId="0" applyFont="1" applyFill="1" applyBorder="1"/>
    <xf numFmtId="168" fontId="11" fillId="24" borderId="12" xfId="0" applyNumberFormat="1" applyFont="1" applyFill="1" applyBorder="1"/>
    <xf numFmtId="0" fontId="11" fillId="24" borderId="5" xfId="0" applyFont="1" applyFill="1" applyBorder="1"/>
    <xf numFmtId="168" fontId="11" fillId="24" borderId="13" xfId="0" applyNumberFormat="1" applyFont="1" applyFill="1" applyBorder="1"/>
    <xf numFmtId="0" fontId="11" fillId="24" borderId="9" xfId="0" applyFont="1" applyFill="1" applyBorder="1"/>
    <xf numFmtId="168" fontId="11" fillId="24" borderId="6" xfId="0" applyNumberFormat="1" applyFont="1" applyFill="1" applyBorder="1"/>
    <xf numFmtId="168" fontId="11" fillId="24" borderId="14" xfId="0" applyNumberFormat="1" applyFont="1" applyFill="1" applyBorder="1"/>
    <xf numFmtId="168" fontId="5" fillId="24" borderId="14" xfId="0" applyNumberFormat="1" applyFont="1" applyFill="1" applyBorder="1"/>
    <xf numFmtId="0" fontId="10" fillId="24" borderId="15" xfId="0" applyFont="1" applyFill="1" applyBorder="1"/>
    <xf numFmtId="0" fontId="8" fillId="24" borderId="16" xfId="0" applyFont="1" applyFill="1" applyBorder="1"/>
    <xf numFmtId="0" fontId="11" fillId="24" borderId="3" xfId="0" applyFont="1" applyFill="1" applyBorder="1" applyAlignment="1">
      <alignment horizontal="center"/>
    </xf>
    <xf numFmtId="0" fontId="7" fillId="24" borderId="2" xfId="0" applyFont="1" applyFill="1" applyBorder="1"/>
    <xf numFmtId="0" fontId="7" fillId="24" borderId="3" xfId="0" applyFont="1" applyFill="1" applyBorder="1" applyAlignment="1">
      <alignment horizontal="center"/>
    </xf>
    <xf numFmtId="169" fontId="7" fillId="24" borderId="4" xfId="0" applyNumberFormat="1" applyFont="1" applyFill="1" applyBorder="1"/>
    <xf numFmtId="169" fontId="7" fillId="24" borderId="6" xfId="0" applyNumberFormat="1" applyFont="1" applyFill="1" applyBorder="1"/>
    <xf numFmtId="0" fontId="7" fillId="24" borderId="0" xfId="0" applyFont="1" applyFill="1" applyAlignment="1">
      <alignment horizontal="center" vertical="center"/>
    </xf>
    <xf numFmtId="0" fontId="7" fillId="24" borderId="3" xfId="0" applyFont="1" applyFill="1" applyBorder="1"/>
    <xf numFmtId="0" fontId="7" fillId="24" borderId="4" xfId="0" applyFont="1" applyFill="1" applyBorder="1"/>
    <xf numFmtId="0" fontId="7" fillId="24" borderId="0" xfId="0" applyFont="1" applyFill="1"/>
    <xf numFmtId="0" fontId="7" fillId="24" borderId="6" xfId="0" applyFont="1" applyFill="1" applyBorder="1"/>
    <xf numFmtId="0" fontId="8" fillId="24" borderId="6" xfId="0" applyFont="1" applyFill="1" applyBorder="1"/>
    <xf numFmtId="0" fontId="8" fillId="24" borderId="9" xfId="0" applyFont="1" applyFill="1" applyBorder="1"/>
    <xf numFmtId="0" fontId="8" fillId="24" borderId="10" xfId="0" applyFont="1" applyFill="1" applyBorder="1"/>
    <xf numFmtId="167" fontId="9" fillId="24" borderId="10" xfId="2" applyNumberFormat="1" applyFont="1" applyFill="1" applyBorder="1"/>
    <xf numFmtId="0" fontId="8" fillId="24" borderId="11" xfId="0" applyFont="1" applyFill="1" applyBorder="1"/>
    <xf numFmtId="0" fontId="5" fillId="6" borderId="22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horizontal="center"/>
    </xf>
    <xf numFmtId="0" fontId="10" fillId="6" borderId="22" xfId="0" applyFont="1" applyFill="1" applyBorder="1" applyAlignment="1">
      <alignment horizontal="left"/>
    </xf>
    <xf numFmtId="170" fontId="5" fillId="21" borderId="22" xfId="3" applyNumberFormat="1" applyFont="1" applyFill="1" applyBorder="1" applyAlignment="1">
      <alignment horizontal="left"/>
    </xf>
    <xf numFmtId="0" fontId="9" fillId="21" borderId="22" xfId="0" applyFont="1" applyFill="1" applyBorder="1"/>
    <xf numFmtId="2" fontId="2" fillId="5" borderId="19" xfId="0" applyNumberFormat="1" applyFont="1" applyFill="1" applyBorder="1" applyAlignment="1">
      <alignment horizontal="center"/>
    </xf>
    <xf numFmtId="2" fontId="10" fillId="5" borderId="19" xfId="0" applyNumberFormat="1" applyFont="1" applyFill="1" applyBorder="1"/>
    <xf numFmtId="10" fontId="10" fillId="5" borderId="19" xfId="2" applyNumberFormat="1" applyFont="1" applyFill="1" applyBorder="1" applyAlignment="1"/>
    <xf numFmtId="0" fontId="5" fillId="5" borderId="19" xfId="0" applyFont="1" applyFill="1" applyBorder="1"/>
    <xf numFmtId="3" fontId="5" fillId="5" borderId="19" xfId="0" applyNumberFormat="1" applyFont="1" applyFill="1" applyBorder="1"/>
    <xf numFmtId="10" fontId="5" fillId="5" borderId="19" xfId="2" applyNumberFormat="1" applyFont="1" applyFill="1" applyBorder="1" applyAlignment="1"/>
    <xf numFmtId="10" fontId="11" fillId="5" borderId="19" xfId="2" applyNumberFormat="1" applyFont="1" applyFill="1" applyBorder="1" applyAlignment="1"/>
    <xf numFmtId="168" fontId="5" fillId="5" borderId="19" xfId="0" applyNumberFormat="1" applyFont="1" applyFill="1" applyBorder="1"/>
    <xf numFmtId="1" fontId="5" fillId="5" borderId="19" xfId="0" applyNumberFormat="1" applyFont="1" applyFill="1" applyBorder="1"/>
    <xf numFmtId="0" fontId="4" fillId="5" borderId="0" xfId="0" applyFont="1" applyFill="1"/>
    <xf numFmtId="2" fontId="0" fillId="5" borderId="18" xfId="0" applyNumberFormat="1" applyFill="1" applyBorder="1" applyAlignment="1">
      <alignment horizontal="center"/>
    </xf>
    <xf numFmtId="1" fontId="10" fillId="5" borderId="0" xfId="0" applyNumberFormat="1" applyFont="1" applyFill="1" applyAlignment="1">
      <alignment horizontal="center"/>
    </xf>
    <xf numFmtId="168" fontId="5" fillId="5" borderId="19" xfId="0" applyNumberFormat="1" applyFont="1" applyFill="1" applyBorder="1" applyAlignment="1">
      <alignment horizontal="center" vertical="center"/>
    </xf>
    <xf numFmtId="10" fontId="10" fillId="5" borderId="19" xfId="0" applyNumberFormat="1" applyFont="1" applyFill="1" applyBorder="1" applyAlignment="1">
      <alignment vertical="center"/>
    </xf>
    <xf numFmtId="168" fontId="5" fillId="5" borderId="19" xfId="0" applyNumberFormat="1" applyFont="1" applyFill="1" applyBorder="1" applyAlignment="1">
      <alignment vertical="center"/>
    </xf>
    <xf numFmtId="168" fontId="68" fillId="5" borderId="19" xfId="0" applyNumberFormat="1" applyFont="1" applyFill="1" applyBorder="1" applyAlignment="1">
      <alignment horizontal="center"/>
    </xf>
    <xf numFmtId="0" fontId="7" fillId="22" borderId="2" xfId="0" applyFont="1" applyFill="1" applyBorder="1"/>
    <xf numFmtId="0" fontId="7" fillId="22" borderId="5" xfId="0" applyFont="1" applyFill="1" applyBorder="1"/>
    <xf numFmtId="0" fontId="7" fillId="22" borderId="9" xfId="0" applyFont="1" applyFill="1" applyBorder="1"/>
    <xf numFmtId="0" fontId="7" fillId="42" borderId="21" xfId="0" applyFont="1" applyFill="1" applyBorder="1"/>
    <xf numFmtId="0" fontId="7" fillId="42" borderId="22" xfId="0" applyFont="1" applyFill="1" applyBorder="1"/>
    <xf numFmtId="0" fontId="8" fillId="42" borderId="22" xfId="0" applyFont="1" applyFill="1" applyBorder="1"/>
    <xf numFmtId="0" fontId="8" fillId="42" borderId="23" xfId="0" applyFont="1" applyFill="1" applyBorder="1"/>
    <xf numFmtId="0" fontId="10" fillId="47" borderId="22" xfId="0" applyFont="1" applyFill="1" applyBorder="1" applyAlignment="1">
      <alignment horizontal="left"/>
    </xf>
    <xf numFmtId="0" fontId="8" fillId="47" borderId="22" xfId="0" applyFont="1" applyFill="1" applyBorder="1" applyAlignment="1">
      <alignment horizontal="left"/>
    </xf>
    <xf numFmtId="0" fontId="7" fillId="47" borderId="22" xfId="0" applyFont="1" applyFill="1" applyBorder="1" applyAlignment="1">
      <alignment horizontal="left"/>
    </xf>
    <xf numFmtId="170" fontId="5" fillId="47" borderId="22" xfId="3" applyNumberFormat="1" applyFont="1" applyFill="1" applyBorder="1" applyAlignment="1">
      <alignment horizontal="left"/>
    </xf>
    <xf numFmtId="0" fontId="14" fillId="48" borderId="15" xfId="0" applyFont="1" applyFill="1" applyBorder="1" applyAlignment="1">
      <alignment horizontal="center" vertical="center" wrapText="1"/>
    </xf>
    <xf numFmtId="0" fontId="14" fillId="48" borderId="20" xfId="0" applyFont="1" applyFill="1" applyBorder="1" applyAlignment="1">
      <alignment horizontal="center" vertical="center" wrapText="1"/>
    </xf>
    <xf numFmtId="0" fontId="14" fillId="48" borderId="16" xfId="0" applyFont="1" applyFill="1" applyBorder="1" applyAlignment="1">
      <alignment horizontal="center" vertical="center" wrapText="1"/>
    </xf>
    <xf numFmtId="172" fontId="8" fillId="24" borderId="0" xfId="0" applyNumberFormat="1" applyFont="1" applyFill="1"/>
    <xf numFmtId="9" fontId="0" fillId="0" borderId="0" xfId="2" applyFont="1"/>
    <xf numFmtId="167" fontId="7" fillId="24" borderId="19" xfId="2" applyNumberFormat="1" applyFont="1" applyFill="1" applyBorder="1" applyAlignment="1">
      <alignment horizontal="center"/>
    </xf>
    <xf numFmtId="9" fontId="68" fillId="24" borderId="19" xfId="2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wrapText="1"/>
    </xf>
    <xf numFmtId="0" fontId="7" fillId="5" borderId="22" xfId="0" applyFont="1" applyFill="1" applyBorder="1"/>
    <xf numFmtId="0" fontId="9" fillId="5" borderId="22" xfId="0" applyFont="1" applyFill="1" applyBorder="1"/>
    <xf numFmtId="0" fontId="5" fillId="5" borderId="22" xfId="0" applyFont="1" applyFill="1" applyBorder="1"/>
    <xf numFmtId="0" fontId="5" fillId="5" borderId="38" xfId="0" applyFont="1" applyFill="1" applyBorder="1"/>
    <xf numFmtId="0" fontId="5" fillId="5" borderId="14" xfId="0" applyFont="1" applyFill="1" applyBorder="1"/>
    <xf numFmtId="0" fontId="7" fillId="22" borderId="22" xfId="0" applyFont="1" applyFill="1" applyBorder="1"/>
    <xf numFmtId="0" fontId="5" fillId="33" borderId="23" xfId="0" applyFont="1" applyFill="1" applyBorder="1"/>
    <xf numFmtId="0" fontId="8" fillId="22" borderId="27" xfId="0" applyFont="1" applyFill="1" applyBorder="1"/>
    <xf numFmtId="0" fontId="5" fillId="22" borderId="23" xfId="0" applyFont="1" applyFill="1" applyBorder="1"/>
    <xf numFmtId="168" fontId="7" fillId="22" borderId="28" xfId="0" applyNumberFormat="1" applyFont="1" applyFill="1" applyBorder="1" applyAlignment="1">
      <alignment horizontal="center"/>
    </xf>
    <xf numFmtId="168" fontId="7" fillId="22" borderId="16" xfId="0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40" borderId="18" xfId="0" applyFont="1" applyFill="1" applyBorder="1" applyAlignment="1">
      <alignment horizontal="center"/>
    </xf>
    <xf numFmtId="172" fontId="0" fillId="0" borderId="30" xfId="0" applyNumberFormat="1" applyBorder="1"/>
    <xf numFmtId="172" fontId="0" fillId="0" borderId="44" xfId="0" applyNumberFormat="1" applyBorder="1"/>
    <xf numFmtId="0" fontId="7" fillId="22" borderId="38" xfId="0" applyFont="1" applyFill="1" applyBorder="1"/>
    <xf numFmtId="168" fontId="7" fillId="0" borderId="28" xfId="0" applyNumberFormat="1" applyFont="1" applyBorder="1" applyAlignment="1">
      <alignment horizontal="center"/>
    </xf>
    <xf numFmtId="168" fontId="7" fillId="0" borderId="48" xfId="0" applyNumberFormat="1" applyFont="1" applyBorder="1" applyAlignment="1">
      <alignment horizontal="center"/>
    </xf>
    <xf numFmtId="9" fontId="7" fillId="22" borderId="28" xfId="2" applyFont="1" applyFill="1" applyBorder="1" applyAlignment="1">
      <alignment horizontal="center"/>
    </xf>
    <xf numFmtId="9" fontId="7" fillId="22" borderId="16" xfId="2" applyFont="1" applyFill="1" applyBorder="1" applyAlignment="1">
      <alignment horizontal="center"/>
    </xf>
    <xf numFmtId="0" fontId="72" fillId="45" borderId="0" xfId="11"/>
    <xf numFmtId="0" fontId="72" fillId="45" borderId="58" xfId="11" applyBorder="1"/>
    <xf numFmtId="0" fontId="5" fillId="24" borderId="27" xfId="0" applyFont="1" applyFill="1" applyBorder="1" applyAlignment="1">
      <alignment horizontal="left"/>
    </xf>
    <xf numFmtId="0" fontId="5" fillId="24" borderId="31" xfId="0" applyFont="1" applyFill="1" applyBorder="1" applyAlignment="1">
      <alignment horizontal="left"/>
    </xf>
    <xf numFmtId="0" fontId="5" fillId="24" borderId="19" xfId="0" applyFont="1" applyFill="1" applyBorder="1" applyAlignment="1">
      <alignment horizontal="left"/>
    </xf>
    <xf numFmtId="168" fontId="15" fillId="24" borderId="18" xfId="0" applyNumberFormat="1" applyFont="1" applyFill="1" applyBorder="1" applyAlignment="1">
      <alignment horizontal="center"/>
    </xf>
    <xf numFmtId="168" fontId="7" fillId="24" borderId="18" xfId="0" applyNumberFormat="1" applyFont="1" applyFill="1" applyBorder="1" applyAlignment="1">
      <alignment horizontal="center"/>
    </xf>
    <xf numFmtId="0" fontId="7" fillId="19" borderId="0" xfId="0" applyFont="1" applyFill="1" applyBorder="1"/>
    <xf numFmtId="168" fontId="7" fillId="0" borderId="0" xfId="0" applyNumberFormat="1" applyFont="1" applyBorder="1" applyAlignment="1">
      <alignment horizontal="center"/>
    </xf>
    <xf numFmtId="0" fontId="16" fillId="49" borderId="0" xfId="0" applyFont="1" applyFill="1"/>
    <xf numFmtId="0" fontId="73" fillId="46" borderId="68" xfId="12"/>
    <xf numFmtId="172" fontId="73" fillId="46" borderId="68" xfId="12" applyNumberFormat="1"/>
    <xf numFmtId="169" fontId="0" fillId="0" borderId="0" xfId="0" applyNumberFormat="1"/>
    <xf numFmtId="9" fontId="14" fillId="24" borderId="9" xfId="0" applyNumberFormat="1" applyFont="1" applyFill="1" applyBorder="1" applyAlignment="1">
      <alignment horizontal="center" vertical="center" wrapText="1"/>
    </xf>
    <xf numFmtId="0" fontId="27" fillId="49" borderId="22" xfId="0" applyFont="1" applyFill="1" applyBorder="1" applyAlignment="1">
      <alignment horizontal="left"/>
    </xf>
    <xf numFmtId="0" fontId="10" fillId="28" borderId="22" xfId="0" applyFont="1" applyFill="1" applyBorder="1" applyAlignment="1">
      <alignment wrapText="1"/>
    </xf>
    <xf numFmtId="0" fontId="5" fillId="28" borderId="23" xfId="0" applyFont="1" applyFill="1" applyBorder="1"/>
    <xf numFmtId="1" fontId="8" fillId="0" borderId="18" xfId="0" applyNumberFormat="1" applyFont="1" applyBorder="1"/>
    <xf numFmtId="167" fontId="73" fillId="33" borderId="68" xfId="12" applyNumberFormat="1" applyFill="1"/>
    <xf numFmtId="9" fontId="73" fillId="33" borderId="68" xfId="12" applyNumberFormat="1" applyFill="1"/>
    <xf numFmtId="0" fontId="73" fillId="33" borderId="68" xfId="12" applyFill="1"/>
    <xf numFmtId="167" fontId="73" fillId="33" borderId="68" xfId="12" applyNumberFormat="1" applyFill="1" applyAlignment="1">
      <alignment horizontal="right"/>
    </xf>
    <xf numFmtId="4" fontId="8" fillId="20" borderId="19" xfId="0" applyNumberFormat="1" applyFont="1" applyFill="1" applyBorder="1"/>
    <xf numFmtId="167" fontId="8" fillId="20" borderId="18" xfId="2" applyNumberFormat="1" applyFont="1" applyFill="1" applyBorder="1"/>
    <xf numFmtId="3" fontId="8" fillId="24" borderId="19" xfId="0" applyNumberFormat="1" applyFont="1" applyFill="1" applyBorder="1"/>
    <xf numFmtId="168" fontId="73" fillId="46" borderId="68" xfId="12" applyNumberFormat="1" applyAlignment="1">
      <alignment horizontal="center"/>
    </xf>
    <xf numFmtId="0" fontId="73" fillId="24" borderId="68" xfId="12" applyFill="1"/>
    <xf numFmtId="168" fontId="73" fillId="24" borderId="68" xfId="12" applyNumberFormat="1" applyFill="1" applyAlignment="1">
      <alignment horizontal="center"/>
    </xf>
    <xf numFmtId="172" fontId="8" fillId="0" borderId="0" xfId="0" applyNumberFormat="1" applyFont="1"/>
    <xf numFmtId="3" fontId="46" fillId="49" borderId="5" xfId="0" applyNumberFormat="1" applyFont="1" applyFill="1" applyBorder="1"/>
    <xf numFmtId="3" fontId="16" fillId="49" borderId="5" xfId="0" applyNumberFormat="1" applyFont="1" applyFill="1" applyBorder="1"/>
    <xf numFmtId="3" fontId="46" fillId="49" borderId="0" xfId="0" applyNumberFormat="1" applyFont="1" applyFill="1"/>
    <xf numFmtId="169" fontId="7" fillId="24" borderId="0" xfId="0" applyNumberFormat="1" applyFont="1" applyFill="1" applyBorder="1"/>
    <xf numFmtId="3" fontId="16" fillId="49" borderId="0" xfId="0" applyNumberFormat="1" applyFont="1" applyFill="1"/>
    <xf numFmtId="3" fontId="16" fillId="50" borderId="5" xfId="0" applyNumberFormat="1" applyFont="1" applyFill="1" applyBorder="1"/>
    <xf numFmtId="0" fontId="11" fillId="24" borderId="1" xfId="0" applyFont="1" applyFill="1" applyBorder="1" applyAlignment="1">
      <alignment horizontal="center" vertical="center" wrapText="1"/>
    </xf>
    <xf numFmtId="0" fontId="11" fillId="24" borderId="8" xfId="0" applyFont="1" applyFill="1" applyBorder="1" applyAlignment="1">
      <alignment horizontal="center" vertical="center" wrapText="1"/>
    </xf>
    <xf numFmtId="0" fontId="11" fillId="24" borderId="15" xfId="0" applyFont="1" applyFill="1" applyBorder="1" applyAlignment="1">
      <alignment horizontal="left" wrapText="1"/>
    </xf>
    <xf numFmtId="0" fontId="11" fillId="24" borderId="16" xfId="0" applyFont="1" applyFill="1" applyBorder="1" applyAlignment="1">
      <alignment horizontal="left" wrapText="1"/>
    </xf>
    <xf numFmtId="0" fontId="11" fillId="24" borderId="7" xfId="0" applyFont="1" applyFill="1" applyBorder="1" applyAlignment="1">
      <alignment horizontal="center" vertical="center" wrapText="1"/>
    </xf>
    <xf numFmtId="0" fontId="10" fillId="37" borderId="15" xfId="0" applyFont="1" applyFill="1" applyBorder="1" applyAlignment="1">
      <alignment horizontal="left" wrapText="1"/>
    </xf>
    <xf numFmtId="0" fontId="10" fillId="37" borderId="20" xfId="0" applyFont="1" applyFill="1" applyBorder="1" applyAlignment="1">
      <alignment horizontal="left" wrapText="1"/>
    </xf>
    <xf numFmtId="0" fontId="10" fillId="37" borderId="16" xfId="0" applyFont="1" applyFill="1" applyBorder="1" applyAlignment="1">
      <alignment horizontal="left" wrapText="1"/>
    </xf>
    <xf numFmtId="0" fontId="72" fillId="45" borderId="0" xfId="11" applyAlignment="1">
      <alignment horizontal="center"/>
    </xf>
    <xf numFmtId="0" fontId="7" fillId="19" borderId="18" xfId="0" applyFont="1" applyFill="1" applyBorder="1"/>
    <xf numFmtId="0" fontId="21" fillId="19" borderId="18" xfId="0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left"/>
    </xf>
    <xf numFmtId="0" fontId="16" fillId="49" borderId="0" xfId="0" applyFont="1" applyFill="1"/>
    <xf numFmtId="37" fontId="17" fillId="43" borderId="18" xfId="0" applyNumberFormat="1" applyFont="1" applyFill="1" applyBorder="1" applyAlignment="1">
      <alignment horizontal="right"/>
    </xf>
    <xf numFmtId="0" fontId="7" fillId="19" borderId="30" xfId="0" applyFont="1" applyFill="1" applyBorder="1"/>
    <xf numFmtId="0" fontId="7" fillId="19" borderId="33" xfId="0" applyFont="1" applyFill="1" applyBorder="1"/>
    <xf numFmtId="37" fontId="5" fillId="43" borderId="18" xfId="0" applyNumberFormat="1" applyFont="1" applyFill="1" applyBorder="1" applyAlignment="1">
      <alignment horizontal="left" vertical="center"/>
    </xf>
    <xf numFmtId="0" fontId="7" fillId="19" borderId="5" xfId="0" applyFont="1" applyFill="1" applyBorder="1"/>
    <xf numFmtId="0" fontId="7" fillId="19" borderId="0" xfId="0" applyFont="1" applyFill="1"/>
    <xf numFmtId="37" fontId="70" fillId="43" borderId="18" xfId="0" applyNumberFormat="1" applyFont="1" applyFill="1" applyBorder="1" applyAlignment="1">
      <alignment horizontal="right"/>
    </xf>
    <xf numFmtId="0" fontId="17" fillId="43" borderId="18" xfId="0" applyFont="1" applyFill="1" applyBorder="1" applyAlignment="1">
      <alignment horizontal="right"/>
    </xf>
    <xf numFmtId="0" fontId="5" fillId="19" borderId="30" xfId="0" applyFont="1" applyFill="1" applyBorder="1"/>
    <xf numFmtId="0" fontId="5" fillId="19" borderId="33" xfId="0" applyFont="1" applyFill="1" applyBorder="1"/>
    <xf numFmtId="0" fontId="5" fillId="43" borderId="27" xfId="0" applyFont="1" applyFill="1" applyBorder="1" applyAlignment="1">
      <alignment horizontal="left"/>
    </xf>
    <xf numFmtId="0" fontId="5" fillId="43" borderId="31" xfId="0" applyFont="1" applyFill="1" applyBorder="1" applyAlignment="1">
      <alignment horizontal="left"/>
    </xf>
    <xf numFmtId="0" fontId="5" fillId="43" borderId="19" xfId="0" applyFont="1" applyFill="1" applyBorder="1" applyAlignment="1">
      <alignment horizontal="left"/>
    </xf>
    <xf numFmtId="0" fontId="15" fillId="28" borderId="27" xfId="0" applyFont="1" applyFill="1" applyBorder="1" applyAlignment="1">
      <alignment horizontal="left"/>
    </xf>
    <xf numFmtId="0" fontId="15" fillId="28" borderId="31" xfId="0" applyFont="1" applyFill="1" applyBorder="1" applyAlignment="1">
      <alignment horizontal="left"/>
    </xf>
    <xf numFmtId="0" fontId="15" fillId="28" borderId="19" xfId="0" applyFont="1" applyFill="1" applyBorder="1" applyAlignment="1">
      <alignment horizontal="left"/>
    </xf>
    <xf numFmtId="0" fontId="74" fillId="40" borderId="2" xfId="0" applyFont="1" applyFill="1" applyBorder="1" applyAlignment="1">
      <alignment horizontal="center" vertical="center" wrapText="1"/>
    </xf>
    <xf numFmtId="0" fontId="74" fillId="40" borderId="3" xfId="0" applyFont="1" applyFill="1" applyBorder="1" applyAlignment="1">
      <alignment horizontal="center" vertical="center" wrapText="1"/>
    </xf>
    <xf numFmtId="0" fontId="74" fillId="40" borderId="5" xfId="0" applyFont="1" applyFill="1" applyBorder="1" applyAlignment="1">
      <alignment horizontal="center" vertical="center" wrapText="1"/>
    </xf>
    <xf numFmtId="0" fontId="74" fillId="40" borderId="0" xfId="0" applyFont="1" applyFill="1" applyAlignment="1">
      <alignment horizontal="center" vertical="center" wrapText="1"/>
    </xf>
    <xf numFmtId="0" fontId="7" fillId="19" borderId="18" xfId="0" applyFont="1" applyFill="1" applyBorder="1" applyAlignment="1">
      <alignment horizontal="left"/>
    </xf>
    <xf numFmtId="0" fontId="7" fillId="19" borderId="27" xfId="0" applyFont="1" applyFill="1" applyBorder="1" applyAlignment="1">
      <alignment horizontal="left"/>
    </xf>
    <xf numFmtId="0" fontId="22" fillId="40" borderId="27" xfId="0" applyFont="1" applyFill="1" applyBorder="1" applyAlignment="1">
      <alignment horizontal="left"/>
    </xf>
    <xf numFmtId="0" fontId="22" fillId="40" borderId="31" xfId="0" applyFont="1" applyFill="1" applyBorder="1" applyAlignment="1">
      <alignment horizontal="left"/>
    </xf>
    <xf numFmtId="0" fontId="22" fillId="40" borderId="19" xfId="0" applyFont="1" applyFill="1" applyBorder="1" applyAlignment="1">
      <alignment horizontal="left"/>
    </xf>
    <xf numFmtId="0" fontId="7" fillId="19" borderId="5" xfId="0" applyFont="1" applyFill="1" applyBorder="1" applyAlignment="1">
      <alignment horizontal="center"/>
    </xf>
    <xf numFmtId="0" fontId="7" fillId="19" borderId="0" xfId="0" applyFont="1" applyFill="1" applyAlignment="1">
      <alignment horizontal="center"/>
    </xf>
    <xf numFmtId="0" fontId="17" fillId="41" borderId="18" xfId="0" applyFont="1" applyFill="1" applyBorder="1" applyAlignment="1">
      <alignment horizontal="right" vertical="center"/>
    </xf>
    <xf numFmtId="0" fontId="7" fillId="19" borderId="31" xfId="0" applyFont="1" applyFill="1" applyBorder="1" applyAlignment="1">
      <alignment horizontal="left"/>
    </xf>
    <xf numFmtId="0" fontId="15" fillId="40" borderId="18" xfId="0" applyFont="1" applyFill="1" applyBorder="1" applyAlignment="1">
      <alignment horizontal="left" indent="1"/>
    </xf>
    <xf numFmtId="0" fontId="15" fillId="37" borderId="18" xfId="0" applyFont="1" applyFill="1" applyBorder="1" applyAlignment="1">
      <alignment horizontal="left" indent="1"/>
    </xf>
    <xf numFmtId="37" fontId="15" fillId="43" borderId="18" xfId="0" applyNumberFormat="1" applyFont="1" applyFill="1" applyBorder="1" applyAlignment="1">
      <alignment horizontal="left" inden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17" fillId="40" borderId="18" xfId="0" applyFont="1" applyFill="1" applyBorder="1" applyAlignment="1">
      <alignment horizontal="right" indent="1"/>
    </xf>
    <xf numFmtId="0" fontId="7" fillId="19" borderId="18" xfId="0" applyFont="1" applyFill="1" applyBorder="1" applyAlignment="1">
      <alignment horizontal="left" indent="1"/>
    </xf>
    <xf numFmtId="0" fontId="7" fillId="19" borderId="19" xfId="0" applyFont="1" applyFill="1" applyBorder="1" applyAlignment="1">
      <alignment horizontal="left"/>
    </xf>
    <xf numFmtId="37" fontId="17" fillId="43" borderId="18" xfId="0" applyNumberFormat="1" applyFont="1" applyFill="1" applyBorder="1" applyAlignment="1">
      <alignment horizontal="right" indent="1"/>
    </xf>
    <xf numFmtId="0" fontId="5" fillId="40" borderId="27" xfId="0" applyFont="1" applyFill="1" applyBorder="1" applyAlignment="1">
      <alignment horizontal="left"/>
    </xf>
    <xf numFmtId="0" fontId="5" fillId="40" borderId="31" xfId="0" applyFont="1" applyFill="1" applyBorder="1" applyAlignment="1">
      <alignment horizontal="left"/>
    </xf>
    <xf numFmtId="0" fontId="5" fillId="40" borderId="19" xfId="0" applyFont="1" applyFill="1" applyBorder="1" applyAlignment="1">
      <alignment horizontal="left"/>
    </xf>
    <xf numFmtId="0" fontId="22" fillId="19" borderId="18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17" fillId="37" borderId="18" xfId="0" applyFont="1" applyFill="1" applyBorder="1" applyAlignment="1">
      <alignment horizontal="right"/>
    </xf>
    <xf numFmtId="0" fontId="16" fillId="19" borderId="0" xfId="0" applyFont="1" applyFill="1"/>
    <xf numFmtId="0" fontId="16" fillId="19" borderId="18" xfId="0" applyFont="1" applyFill="1" applyBorder="1"/>
    <xf numFmtId="9" fontId="16" fillId="19" borderId="0" xfId="0" applyNumberFormat="1" applyFont="1" applyFill="1"/>
    <xf numFmtId="0" fontId="8" fillId="49" borderId="18" xfId="0" applyFont="1" applyFill="1" applyBorder="1"/>
    <xf numFmtId="0" fontId="15" fillId="19" borderId="30" xfId="0" applyFont="1" applyFill="1" applyBorder="1"/>
    <xf numFmtId="3" fontId="50" fillId="34" borderId="15" xfId="0" applyNumberFormat="1" applyFont="1" applyFill="1" applyBorder="1" applyAlignment="1">
      <alignment horizontal="center"/>
    </xf>
    <xf numFmtId="3" fontId="50" fillId="34" borderId="20" xfId="0" applyNumberFormat="1" applyFont="1" applyFill="1" applyBorder="1" applyAlignment="1">
      <alignment horizontal="center"/>
    </xf>
    <xf numFmtId="3" fontId="50" fillId="34" borderId="16" xfId="0" applyNumberFormat="1" applyFont="1" applyFill="1" applyBorder="1" applyAlignment="1">
      <alignment horizontal="center"/>
    </xf>
    <xf numFmtId="0" fontId="41" fillId="4" borderId="46" xfId="0" applyFont="1" applyFill="1" applyBorder="1" applyAlignment="1">
      <alignment horizontal="left" vertical="top"/>
    </xf>
    <xf numFmtId="0" fontId="37" fillId="23" borderId="0" xfId="0" applyFont="1" applyFill="1" applyAlignment="1">
      <alignment horizontal="left" vertical="top"/>
    </xf>
    <xf numFmtId="0" fontId="37" fillId="23" borderId="46" xfId="0" applyFont="1" applyFill="1" applyBorder="1" applyAlignment="1">
      <alignment horizontal="left" vertical="top"/>
    </xf>
    <xf numFmtId="0" fontId="42" fillId="2" borderId="46" xfId="0" applyFont="1" applyFill="1" applyBorder="1" applyAlignment="1">
      <alignment horizontal="left" vertical="top"/>
    </xf>
    <xf numFmtId="0" fontId="37" fillId="2" borderId="46" xfId="0" applyFont="1" applyFill="1" applyBorder="1" applyAlignment="1">
      <alignment horizontal="left" vertical="top"/>
    </xf>
    <xf numFmtId="0" fontId="39" fillId="4" borderId="46" xfId="0" applyFont="1" applyFill="1" applyBorder="1" applyAlignment="1">
      <alignment horizontal="left" vertical="top"/>
    </xf>
    <xf numFmtId="3" fontId="50" fillId="16" borderId="20" xfId="0" applyNumberFormat="1" applyFont="1" applyFill="1" applyBorder="1" applyAlignment="1">
      <alignment horizontal="center"/>
    </xf>
    <xf numFmtId="3" fontId="50" fillId="31" borderId="5" xfId="0" applyNumberFormat="1" applyFont="1" applyFill="1" applyBorder="1" applyAlignment="1">
      <alignment horizontal="center"/>
    </xf>
    <xf numFmtId="3" fontId="50" fillId="31" borderId="0" xfId="0" applyNumberFormat="1" applyFont="1" applyFill="1" applyAlignment="1">
      <alignment horizontal="center"/>
    </xf>
    <xf numFmtId="3" fontId="50" fillId="16" borderId="15" xfId="0" applyNumberFormat="1" applyFont="1" applyFill="1" applyBorder="1" applyAlignment="1">
      <alignment horizontal="center"/>
    </xf>
    <xf numFmtId="3" fontId="50" fillId="16" borderId="16" xfId="0" applyNumberFormat="1" applyFont="1" applyFill="1" applyBorder="1" applyAlignment="1">
      <alignment horizontal="center"/>
    </xf>
    <xf numFmtId="0" fontId="6" fillId="0" borderId="15" xfId="8" applyFont="1" applyBorder="1" applyAlignment="1">
      <alignment horizontal="center"/>
    </xf>
    <xf numFmtId="0" fontId="28" fillId="0" borderId="16" xfId="8" applyBorder="1" applyAlignment="1">
      <alignment horizontal="center"/>
    </xf>
  </cellXfs>
  <cellStyles count="13">
    <cellStyle name="Comma" xfId="1" builtinId="3"/>
    <cellStyle name="Currency" xfId="4" builtinId="4"/>
    <cellStyle name="Currency 2" xfId="6" xr:uid="{C7465F84-7A18-4BA2-B98D-28CAD279BEE9}"/>
    <cellStyle name="Euro" xfId="3" xr:uid="{7F5B27F1-0DD6-4F10-B5FB-721029228B26}"/>
    <cellStyle name="Hyperlink" xfId="10" builtinId="8"/>
    <cellStyle name="Neutral" xfId="11" builtinId="28"/>
    <cellStyle name="Normal" xfId="0" builtinId="0"/>
    <cellStyle name="Normal 2" xfId="5" xr:uid="{6895349C-4DD0-4ADC-B983-9A71F9A34FED}"/>
    <cellStyle name="Normal 3" xfId="7" xr:uid="{3C23D9CE-F7F9-4003-80EE-78BB74A8D237}"/>
    <cellStyle name="Normal 4" xfId="8" xr:uid="{EA93579A-6BFC-48FC-95B2-DF3D2451D3C8}"/>
    <cellStyle name="Output" xfId="12" builtinId="21"/>
    <cellStyle name="Percent" xfId="2" builtinId="5"/>
    <cellStyle name="Percent 2" xfId="9" xr:uid="{6105BCEF-E8EF-4660-9184-A9D27514A7F4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0F1FA"/>
      <color rgb="FFE7FABC"/>
      <color rgb="FFCCFFCC"/>
      <color rgb="FFFFCCCC"/>
      <color rgb="FFFFCCFF"/>
      <color rgb="FFD4E3FC"/>
      <color rgb="FFF3FBBB"/>
      <color rgb="FFF791B3"/>
      <color rgb="FFEF7575"/>
      <color rgb="FFC9F4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21" Type="http://schemas.openxmlformats.org/officeDocument/2006/relationships/customXml" Target="../customXml/item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externalLink" Target="externalLinks/externalLink1.xml" /><Relationship Id="rId23" Type="http://schemas.openxmlformats.org/officeDocument/2006/relationships/customXml" Target="../customXml/item3.xml" /><Relationship Id="rId10" Type="http://schemas.openxmlformats.org/officeDocument/2006/relationships/worksheet" Target="worksheets/sheet10.xml" /><Relationship Id="rId19" Type="http://schemas.microsoft.com/office/2017/10/relationships/person" Target="persons/perso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customXml" Target="../customXml/item2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Current Assets</a:t>
            </a:r>
          </a:p>
        </c:rich>
      </c:tx>
      <c:layout>
        <c:manualLayout>
          <c:xMode val="edge"/>
          <c:yMode val="edge"/>
          <c:x val="0.58443404798044185"/>
          <c:y val="2.7499269551369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DB5-41C5-8EB8-76D772CC6D0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DB5-41C5-8EB8-76D772CC6D0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DB5-41C5-8EB8-76D772CC6D0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DB5-41C5-8EB8-76D772CC6D0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DB5-41C5-8EB8-76D772CC6D0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DB5-41C5-8EB8-76D772CC6D01}"/>
              </c:ext>
            </c:extLst>
          </c:dPt>
          <c:dLbls>
            <c:dLbl>
              <c:idx val="0"/>
              <c:layout>
                <c:manualLayout>
                  <c:x val="-3.9790093399471864E-2"/>
                  <c:y val="-5.242717645024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B5-41C5-8EB8-76D772CC6D01}"/>
                </c:ext>
              </c:extLst>
            </c:dLbl>
            <c:dLbl>
              <c:idx val="1"/>
              <c:layout>
                <c:manualLayout>
                  <c:x val="4.5926588603211069E-2"/>
                  <c:y val="4.6983556764229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5-41C5-8EB8-76D772CC6D01}"/>
                </c:ext>
              </c:extLst>
            </c:dLbl>
            <c:dLbl>
              <c:idx val="2"/>
              <c:layout>
                <c:manualLayout>
                  <c:x val="7.3450198757662066E-2"/>
                  <c:y val="-2.6293857305426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B5-41C5-8EB8-76D772CC6D01}"/>
                </c:ext>
              </c:extLst>
            </c:dLbl>
            <c:dLbl>
              <c:idx val="3"/>
              <c:layout>
                <c:manualLayout>
                  <c:x val="4.2840988568120589E-2"/>
                  <c:y val="-5.9397284703419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5-41C5-8EB8-76D772CC6D01}"/>
                </c:ext>
              </c:extLst>
            </c:dLbl>
            <c:dLbl>
              <c:idx val="4"/>
              <c:layout>
                <c:manualLayout>
                  <c:x val="2.4091684472994552E-2"/>
                  <c:y val="9.32038692448789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5-41C5-8EB8-76D772CC6D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Sheet'!$K$3:$K$8</c:f>
              <c:strCache>
                <c:ptCount val="6"/>
                <c:pt idx="0">
                  <c:v>Cash</c:v>
                </c:pt>
                <c:pt idx="1">
                  <c:v>Inventory</c:v>
                </c:pt>
                <c:pt idx="2">
                  <c:v>Stock</c:v>
                </c:pt>
                <c:pt idx="3">
                  <c:v>Pre-paid insurance</c:v>
                </c:pt>
                <c:pt idx="4">
                  <c:v>Short-term Investments</c:v>
                </c:pt>
                <c:pt idx="5">
                  <c:v>Salaries fond</c:v>
                </c:pt>
              </c:strCache>
            </c:strRef>
          </c:cat>
          <c:val>
            <c:numRef>
              <c:f>'Vertical analysis Balance Sheet'!$L$3:$L$8</c:f>
              <c:numCache>
                <c:formatCode>0.00%</c:formatCode>
                <c:ptCount val="6"/>
                <c:pt idx="0">
                  <c:v>1.9703324798791721E-2</c:v>
                </c:pt>
                <c:pt idx="1">
                  <c:v>3.7656819673712913E-2</c:v>
                </c:pt>
                <c:pt idx="2">
                  <c:v>0.19725000781468666</c:v>
                </c:pt>
                <c:pt idx="3">
                  <c:v>5.3795456676732731E-2</c:v>
                </c:pt>
                <c:pt idx="4">
                  <c:v>2.4387273693452172E-2</c:v>
                </c:pt>
                <c:pt idx="5">
                  <c:v>0.66720711734262383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B5-41C5-8EB8-76D772CC6D0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Long Term Liabilities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1E-4106-8B29-42A09D608571}"/>
              </c:ext>
            </c:extLst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1E-4106-8B29-42A09D608571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1E-4106-8B29-42A09D608571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5CC145D0-6A02-BF46-8B3A-8E838199929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C2E919F2-23DA-C944-9C33-C12AF53E9E7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E-4106-8B29-42A09D608571}"/>
                </c:ext>
              </c:extLst>
            </c:dLbl>
            <c:dLbl>
              <c:idx val="2"/>
              <c:layout>
                <c:manualLayout>
                  <c:x val="0.17651702633012226"/>
                  <c:y val="-0.15550891590731852"/>
                </c:manualLayout>
              </c:layout>
              <c:tx>
                <c:rich>
                  <a:bodyPr/>
                  <a:lstStyle/>
                  <a:p>
                    <a:fld id="{6E365627-4D4A-1A47-B32C-ED9E3E47C30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FD18C44E-6497-9641-8FCD-B7DC7573E20A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A1E-4106-8B29-42A09D608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Sheet'!$U$16:$U$18</c:f>
              <c:strCache>
                <c:ptCount val="3"/>
                <c:pt idx="0">
                  <c:v>Long Term Liabilities:</c:v>
                </c:pt>
                <c:pt idx="1">
                  <c:v>Notes Payable</c:v>
                </c:pt>
                <c:pt idx="2">
                  <c:v>Long term loan</c:v>
                </c:pt>
              </c:strCache>
            </c:strRef>
          </c:cat>
          <c:val>
            <c:numRef>
              <c:f>'Vertical analysis Balance Sheet'!$V$16:$V$18</c:f>
              <c:numCache>
                <c:formatCode>0.00%</c:formatCode>
                <c:ptCount val="3"/>
                <c:pt idx="1">
                  <c:v>0.12280699958961994</c:v>
                </c:pt>
                <c:pt idx="2">
                  <c:v>0.87719300041038006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1E-4106-8B29-42A09D60857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Fixed Assets</a:t>
            </a:r>
          </a:p>
        </c:rich>
      </c:tx>
      <c:layout>
        <c:manualLayout>
          <c:xMode val="edge"/>
          <c:yMode val="edge"/>
          <c:x val="0.71309469835916084"/>
          <c:y val="2.5831027739868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9DC-44E5-8B92-D7B233DB7C0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9DC-44E5-8B92-D7B233DB7C0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9DC-44E5-8B92-D7B233DB7C0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9DC-44E5-8B92-D7B233DB7C0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9DC-44E5-8B92-D7B233DB7C08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9DC-44E5-8B92-D7B233DB7C08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9DC-44E5-8B92-D7B233DB7C08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9DC-44E5-8B92-D7B233DB7C08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9DC-44E5-8B92-D7B233DB7C08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9DC-44E5-8B92-D7B233DB7C08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9DC-44E5-8B92-D7B233DB7C08}"/>
                </c:ext>
              </c:extLst>
            </c:dLbl>
            <c:dLbl>
              <c:idx val="2"/>
              <c:layout>
                <c:manualLayout>
                  <c:x val="-0.21754195565290821"/>
                  <c:y val="-2.583100758218040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DC-44E5-8B92-D7B233DB7C08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9DC-44E5-8B92-D7B233DB7C08}"/>
                </c:ext>
              </c:extLst>
            </c:dLbl>
            <c:dLbl>
              <c:idx val="4"/>
              <c:layout>
                <c:manualLayout>
                  <c:x val="-5.1193348131951977E-2"/>
                  <c:y val="6.812018788030559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DC-44E5-8B92-D7B233DB7C08}"/>
                </c:ext>
              </c:extLst>
            </c:dLbl>
            <c:dLbl>
              <c:idx val="5"/>
              <c:layout>
                <c:manualLayout>
                  <c:x val="-0.15610275471714088"/>
                  <c:y val="1.282488550421415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DC-44E5-8B92-D7B233DB7C08}"/>
                </c:ext>
              </c:extLst>
            </c:dLbl>
            <c:dLbl>
              <c:idx val="6"/>
              <c:layout>
                <c:manualLayout>
                  <c:x val="9.1547882631353952E-2"/>
                  <c:y val="-3.837012979299976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DC-44E5-8B92-D7B233DB7C08}"/>
                </c:ext>
              </c:extLst>
            </c:dLbl>
            <c:dLbl>
              <c:idx val="7"/>
              <c:layout>
                <c:manualLayout>
                  <c:x val="-4.0323775575434061E-2"/>
                  <c:y val="3.879027290636883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DC-44E5-8B92-D7B233DB7C08}"/>
                </c:ext>
              </c:extLst>
            </c:dLbl>
            <c:dLbl>
              <c:idx val="8"/>
              <c:layout>
                <c:manualLayout>
                  <c:x val="8.8841215343778715E-2"/>
                  <c:y val="-6.885527970230247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DC-44E5-8B92-D7B233DB7C0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Sheet'!$K$18:$K$26</c:f>
              <c:strCache>
                <c:ptCount val="9"/>
                <c:pt idx="1">
                  <c:v>Furniture</c:v>
                </c:pt>
                <c:pt idx="2">
                  <c:v>Pool equipment</c:v>
                </c:pt>
                <c:pt idx="3">
                  <c:v>Vehicles</c:v>
                </c:pt>
                <c:pt idx="4">
                  <c:v>F&amp;B equipment</c:v>
                </c:pt>
                <c:pt idx="5">
                  <c:v>Hotel Management Software</c:v>
                </c:pt>
                <c:pt idx="6">
                  <c:v>Offices equipment</c:v>
                </c:pt>
                <c:pt idx="7">
                  <c:v>Security system</c:v>
                </c:pt>
                <c:pt idx="8">
                  <c:v>Parking</c:v>
                </c:pt>
              </c:strCache>
            </c:strRef>
          </c:cat>
          <c:val>
            <c:numRef>
              <c:f>'Vertical analysis Balance Sheet'!$L$18:$L$26</c:f>
              <c:numCache>
                <c:formatCode>0.00%</c:formatCode>
                <c:ptCount val="9"/>
                <c:pt idx="1">
                  <c:v>0.3105590062111801</c:v>
                </c:pt>
                <c:pt idx="3">
                  <c:v>0.16441359152356594</c:v>
                </c:pt>
                <c:pt idx="5">
                  <c:v>8.2206795761782976E-3</c:v>
                </c:pt>
                <c:pt idx="6">
                  <c:v>2.4662038728534893E-2</c:v>
                </c:pt>
                <c:pt idx="7">
                  <c:v>1.1691633175009134E-2</c:v>
                </c:pt>
                <c:pt idx="8">
                  <c:v>2.1921812203142127E-2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DC-44E5-8B92-D7B233DB7C0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Assets Distribution</a:t>
            </a:r>
          </a:p>
        </c:rich>
      </c:tx>
      <c:layout>
        <c:manualLayout>
          <c:xMode val="edge"/>
          <c:yMode val="edge"/>
          <c:x val="2.412586834165354E-2"/>
          <c:y val="3.39607152073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8B9-434C-ABD0-E0091AE86F2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8B9-434C-ABD0-E0091AE86F27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8B9-434C-ABD0-E0091AE86F27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8B9-434C-ABD0-E0091AE86F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Sheet'!$K$34:$K$35</c:f>
              <c:strCache>
                <c:ptCount val="2"/>
                <c:pt idx="0">
                  <c:v>Total Current Assets</c:v>
                </c:pt>
                <c:pt idx="1">
                  <c:v>Total Fixed Assets</c:v>
                </c:pt>
              </c:strCache>
            </c:strRef>
          </c:cat>
          <c:val>
            <c:numRef>
              <c:f>'Vertical analysis Balance Sheet'!$L$34:$L$35</c:f>
              <c:numCache>
                <c:formatCode>0.00%</c:formatCode>
                <c:ptCount val="2"/>
                <c:pt idx="0">
                  <c:v>0.29327834132203767</c:v>
                </c:pt>
                <c:pt idx="1">
                  <c:v>0.70672165867796233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9-434C-ABD0-E0091AE86F2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Current Liabilities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F4-4C7E-936C-EFB8E233B92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F4-4C7E-936C-EFB8E233B92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F4-4C7E-936C-EFB8E233B92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3F4-4C7E-936C-EFB8E233B92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Sheet'!$U$6:$U$9</c:f>
              <c:strCache>
                <c:ptCount val="4"/>
                <c:pt idx="0">
                  <c:v>Accounts Payable</c:v>
                </c:pt>
                <c:pt idx="1">
                  <c:v>Short Term Loans</c:v>
                </c:pt>
                <c:pt idx="2">
                  <c:v>Salaries </c:v>
                </c:pt>
                <c:pt idx="3">
                  <c:v>Marketing</c:v>
                </c:pt>
              </c:strCache>
            </c:strRef>
          </c:cat>
          <c:val>
            <c:numRef>
              <c:f>'Vertical analysis Balance Sheet'!$V$6:$V$9</c:f>
              <c:numCache>
                <c:formatCode>0.00%</c:formatCode>
                <c:ptCount val="4"/>
                <c:pt idx="0">
                  <c:v>0.2524997475002525</c:v>
                </c:pt>
                <c:pt idx="1">
                  <c:v>0.10099989900010101</c:v>
                </c:pt>
                <c:pt idx="2">
                  <c:v>0.46975053024946978</c:v>
                </c:pt>
                <c:pt idx="3">
                  <c:v>0.17674982325017674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4-4C7E-936C-EFB8E233B9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'Vertical analysis Balance Sheet'!$U$30</c:f>
              <c:strCache>
                <c:ptCount val="1"/>
                <c:pt idx="0">
                  <c:v>Equity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2DB-4828-AE94-09E045EBD94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2DB-4828-AE94-09E045EBD94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2DB-4828-AE94-09E045EBD94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2DB-4828-AE94-09E045EBD942}"/>
              </c:ext>
            </c:extLst>
          </c:dPt>
          <c:dLbls>
            <c:dLbl>
              <c:idx val="0"/>
              <c:layout>
                <c:manualLayout>
                  <c:x val="0.31768965109474434"/>
                  <c:y val="-0.567521367521367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56209616043519"/>
                      <c:h val="0.35432478632478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DB-4828-AE94-09E045EBD94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2DB-4828-AE94-09E045EBD94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2DB-4828-AE94-09E045EBD94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2DB-4828-AE94-09E045EBD9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Sheet'!$U$31:$U$34</c:f>
              <c:strCache>
                <c:ptCount val="1"/>
                <c:pt idx="0">
                  <c:v>Owners investment</c:v>
                </c:pt>
              </c:strCache>
            </c:strRef>
          </c:cat>
          <c:val>
            <c:numRef>
              <c:f>'Vertical analysis Balance Sheet'!$V$31:$V$34</c:f>
              <c:numCache>
                <c:formatCode>0.00%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DB-4828-AE94-09E045EBD94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Sources of Finance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F96-4ECF-A763-6266DF9412D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F96-4ECF-A763-6266DF9412D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F96-4ECF-A763-6266DF9412D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0CAF6D-E2F0-5940-9374-70EDC9443F67}" type="PERCENTAGE">
                      <a:rPr lang="en-US"/>
                      <a:pPr>
                        <a:defRPr/>
                      </a:pPr>
                      <a:t>[PERCENTAGE]</a:t>
                    </a:fld>
                    <a:endParaRPr lang="en-US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96-4ECF-A763-6266DF9412D7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F96-4ECF-A763-6266DF9412D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C928459-F74F-EF4A-B1F7-149A119E1B01}" type="PERCENTAGE">
                      <a:rPr lang="en-US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F96-4ECF-A763-6266DF9412D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Sheet'!$U$42:$U$44</c:f>
              <c:strCache>
                <c:ptCount val="3"/>
                <c:pt idx="0">
                  <c:v>Equity</c:v>
                </c:pt>
                <c:pt idx="1">
                  <c:v>Long term Liabilities</c:v>
                </c:pt>
                <c:pt idx="2">
                  <c:v>Current liabilities</c:v>
                </c:pt>
              </c:strCache>
            </c:strRef>
          </c:cat>
          <c:val>
            <c:numRef>
              <c:f>'Vertical analysis Balance Sheet'!$V$42:$V$44</c:f>
              <c:numCache>
                <c:formatCode>0.00%</c:formatCode>
                <c:ptCount val="3"/>
                <c:pt idx="0">
                  <c:v>0.46914924417417797</c:v>
                </c:pt>
                <c:pt idx="1">
                  <c:v>0.31432999359669928</c:v>
                </c:pt>
                <c:pt idx="2">
                  <c:v>0.21652076222912275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96-4ECF-A763-6266DF9412D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debt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B-4953-BB24-16E84A35F9DF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B-4953-BB24-16E84A35F9DF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EEB-4953-BB24-16E84A35F9DF}"/>
                </c:ext>
              </c:extLst>
            </c:dLbl>
            <c:dLbl>
              <c:idx val="1"/>
              <c:numFmt formatCode="0.00%" sourceLinked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EEB-4953-BB24-16E84A35F9DF}"/>
                </c:ext>
              </c:extLst>
            </c:dLbl>
            <c:numFmt formatCode="0.00%" sourceLinked="0"/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Sheet'!$U$52:$U$53</c:f>
              <c:strCache>
                <c:ptCount val="2"/>
                <c:pt idx="0">
                  <c:v>Current Liabilities</c:v>
                </c:pt>
                <c:pt idx="1">
                  <c:v>Long Term Liabilities</c:v>
                </c:pt>
              </c:strCache>
            </c:strRef>
          </c:cat>
          <c:val>
            <c:numRef>
              <c:f>'Vertical analysis Balance Sheet'!$V$52:$V$53</c:f>
              <c:numCache>
                <c:formatCode>0.00%</c:formatCode>
                <c:ptCount val="2"/>
                <c:pt idx="0">
                  <c:v>0.21652076222912275</c:v>
                </c:pt>
                <c:pt idx="1">
                  <c:v>0.31432999359669928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EB-4953-BB24-16E84A35F9D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61F-4B91-9EA9-0A120F9EF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61F-4B91-9EA9-0A120F9EF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61F-4B91-9EA9-0A120F9EF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61F-4B91-9EA9-0A120F9EF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61F-4B91-9EA9-0A120F9EF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61F-4B91-9EA9-0A120F9EF4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61F-4B91-9EA9-0A120F9EF49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61F-4B91-9EA9-0A120F9EF49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B61F-4B91-9EA9-0A120F9EF49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B61F-4B91-9EA9-0A120F9EF49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B61F-4B91-9EA9-0A120F9EF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B61F-4B91-9EA9-0A120F9EF49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B61F-4B91-9EA9-0A120F9EF49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B-B61F-4B91-9EA9-0A120F9EF49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B61F-4B91-9EA9-0A120F9EF49A}"/>
              </c:ext>
            </c:extLst>
          </c:dPt>
          <c:dLbls>
            <c:dLbl>
              <c:idx val="0"/>
              <c:layout>
                <c:manualLayout>
                  <c:x val="-0.14005248275194326"/>
                  <c:y val="-9.61109130063492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F-4B91-9EA9-0A120F9EF49A}"/>
                </c:ext>
              </c:extLst>
            </c:dLbl>
            <c:dLbl>
              <c:idx val="1"/>
              <c:layout>
                <c:manualLayout>
                  <c:x val="-0.10094190281872147"/>
                  <c:y val="-0.122991095588576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1F-4B91-9EA9-0A120F9EF49A}"/>
                </c:ext>
              </c:extLst>
            </c:dLbl>
            <c:dLbl>
              <c:idx val="2"/>
              <c:layout>
                <c:manualLayout>
                  <c:x val="-4.222683159728978E-2"/>
                  <c:y val="-8.8722061370278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1F-4B91-9EA9-0A120F9EF49A}"/>
                </c:ext>
              </c:extLst>
            </c:dLbl>
            <c:dLbl>
              <c:idx val="3"/>
              <c:layout>
                <c:manualLayout>
                  <c:x val="4.0333904055207107E-2"/>
                  <c:y val="-0.112491399038238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77195689323562"/>
                      <c:h val="0.158925742627277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61F-4B91-9EA9-0A120F9EF49A}"/>
                </c:ext>
              </c:extLst>
            </c:dLbl>
            <c:dLbl>
              <c:idx val="4"/>
              <c:layout>
                <c:manualLayout>
                  <c:x val="6.8337357322472203E-2"/>
                  <c:y val="4.66602175560122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20850521448297"/>
                      <c:h val="0.194562211046340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61F-4B91-9EA9-0A120F9EF49A}"/>
                </c:ext>
              </c:extLst>
            </c:dLbl>
            <c:dLbl>
              <c:idx val="5"/>
              <c:layout>
                <c:manualLayout>
                  <c:x val="4.5411382019720253E-2"/>
                  <c:y val="5.54923905648415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1F-4B91-9EA9-0A120F9EF49A}"/>
                </c:ext>
              </c:extLst>
            </c:dLbl>
            <c:dLbl>
              <c:idx val="6"/>
              <c:layout>
                <c:manualLayout>
                  <c:x val="0"/>
                  <c:y val="6.9859016707126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30426933367397"/>
                      <c:h val="0.13870355480648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61F-4B91-9EA9-0A120F9EF49A}"/>
                </c:ext>
              </c:extLst>
            </c:dLbl>
            <c:dLbl>
              <c:idx val="7"/>
              <c:layout>
                <c:manualLayout>
                  <c:x val="-8.1559002314176036E-4"/>
                  <c:y val="3.28226955220880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57503643232077"/>
                      <c:h val="0.2151216348040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61F-4B91-9EA9-0A120F9EF49A}"/>
                </c:ext>
              </c:extLst>
            </c:dLbl>
            <c:dLbl>
              <c:idx val="8"/>
              <c:layout>
                <c:manualLayout>
                  <c:x val="-1.2354093635557149E-2"/>
                  <c:y val="9.2842067014055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1F-4B91-9EA9-0A120F9EF49A}"/>
                </c:ext>
              </c:extLst>
            </c:dLbl>
            <c:dLbl>
              <c:idx val="9"/>
              <c:layout>
                <c:manualLayout>
                  <c:x val="-4.2053176758188149E-2"/>
                  <c:y val="7.04411511270486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1F-4B91-9EA9-0A120F9EF49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61F-4B91-9EA9-0A120F9EF49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61F-4B91-9EA9-0A120F9EF49A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61F-4B91-9EA9-0A120F9EF49A}"/>
                </c:ext>
              </c:extLst>
            </c:dLbl>
            <c:dLbl>
              <c:idx val="13"/>
              <c:layout>
                <c:manualLayout>
                  <c:x val="6.4522610178135639E-2"/>
                  <c:y val="-0.223967673719800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61F-4B91-9EA9-0A120F9EF49A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B61F-4B91-9EA9-0A120F9EF4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Sheet'!$K$47:$K$61</c:f>
              <c:strCache>
                <c:ptCount val="15"/>
                <c:pt idx="0">
                  <c:v>Cash</c:v>
                </c:pt>
                <c:pt idx="1">
                  <c:v>Inventory</c:v>
                </c:pt>
                <c:pt idx="2">
                  <c:v>Stock</c:v>
                </c:pt>
                <c:pt idx="3">
                  <c:v>Pre-paid insurance</c:v>
                </c:pt>
                <c:pt idx="4">
                  <c:v>Short-term Investments</c:v>
                </c:pt>
                <c:pt idx="5">
                  <c:v>Salaries fund</c:v>
                </c:pt>
                <c:pt idx="6">
                  <c:v>Gym equipment </c:v>
                </c:pt>
                <c:pt idx="7">
                  <c:v>Furniture</c:v>
                </c:pt>
                <c:pt idx="8">
                  <c:v>Spa and Pool eqipment</c:v>
                </c:pt>
                <c:pt idx="9">
                  <c:v>Vehicles</c:v>
                </c:pt>
                <c:pt idx="10">
                  <c:v>F&amp;B equipment</c:v>
                </c:pt>
                <c:pt idx="11">
                  <c:v>Hotel Management Software</c:v>
                </c:pt>
                <c:pt idx="12">
                  <c:v>Offices equipment</c:v>
                </c:pt>
                <c:pt idx="13">
                  <c:v>Security system</c:v>
                </c:pt>
                <c:pt idx="14">
                  <c:v>Parking</c:v>
                </c:pt>
              </c:strCache>
            </c:strRef>
          </c:cat>
          <c:val>
            <c:numRef>
              <c:f>'Vertical analysis Balance Sheet'!$L$47:$L$61</c:f>
              <c:numCache>
                <c:formatCode>0.00%</c:formatCode>
                <c:ptCount val="15"/>
                <c:pt idx="0">
                  <c:v>6.6493950776334342E-3</c:v>
                </c:pt>
                <c:pt idx="1">
                  <c:v>1.2708264921515763E-2</c:v>
                </c:pt>
                <c:pt idx="2">
                  <c:v>6.6567101969844472E-2</c:v>
                </c:pt>
                <c:pt idx="3">
                  <c:v>1.8154664173593949E-2</c:v>
                </c:pt>
                <c:pt idx="4">
                  <c:v>8.2301144253625908E-3</c:v>
                </c:pt>
                <c:pt idx="5">
                  <c:v>0.22516624819036121</c:v>
                </c:pt>
                <c:pt idx="6">
                  <c:v>6.0515547245313162E-2</c:v>
                </c:pt>
                <c:pt idx="7">
                  <c:v>0.20575286063406475</c:v>
                </c:pt>
                <c:pt idx="8">
                  <c:v>0.14644762433365785</c:v>
                </c:pt>
                <c:pt idx="9">
                  <c:v>0.10892798504156369</c:v>
                </c:pt>
                <c:pt idx="10">
                  <c:v>9.6824875592501067E-2</c:v>
                </c:pt>
                <c:pt idx="11">
                  <c:v>5.4463992520781849E-3</c:v>
                </c:pt>
                <c:pt idx="12">
                  <c:v>1.6339197756234554E-2</c:v>
                </c:pt>
                <c:pt idx="13">
                  <c:v>7.7459900474000851E-3</c:v>
                </c:pt>
                <c:pt idx="14">
                  <c:v>1.4523731338875159E-2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61F-4B91-9EA9-0A120F9EF4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D6-43ED-9D63-2C96FD832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D6-43ED-9D63-2C96FD832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D6-43ED-9D63-2C96FD832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D6-43ED-9D63-2C96FD8326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D6-43ED-9D63-2C96FD8326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6D6-43ED-9D63-2C96FD8326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6D6-43ED-9D63-2C96FD8326E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'Vertical analysis Balance Sheet'!$AF$2:$AF$8</c:f>
              <c:strCache>
                <c:ptCount val="7"/>
                <c:pt idx="0">
                  <c:v>Accounts Payable</c:v>
                </c:pt>
                <c:pt idx="1">
                  <c:v>Short Term Loans</c:v>
                </c:pt>
                <c:pt idx="2">
                  <c:v>Salaries </c:v>
                </c:pt>
                <c:pt idx="3">
                  <c:v>Marketing</c:v>
                </c:pt>
                <c:pt idx="4">
                  <c:v>Notes Payable</c:v>
                </c:pt>
                <c:pt idx="5">
                  <c:v>Long term loan</c:v>
                </c:pt>
                <c:pt idx="6">
                  <c:v>Owners investment</c:v>
                </c:pt>
              </c:strCache>
            </c:strRef>
          </c:cat>
          <c:val>
            <c:numRef>
              <c:f>'Vertical analysis Balance Sheet'!$AG$2:$AG$8</c:f>
              <c:numCache>
                <c:formatCode>0.00%</c:formatCode>
                <c:ptCount val="7"/>
                <c:pt idx="0">
                  <c:v>6.7150918802519152E-2</c:v>
                </c:pt>
                <c:pt idx="1">
                  <c:v>2.686036752100766E-2</c:v>
                </c:pt>
                <c:pt idx="2">
                  <c:v>0.12492756934020663</c:v>
                </c:pt>
                <c:pt idx="3">
                  <c:v>4.7005643161763408E-2</c:v>
                </c:pt>
                <c:pt idx="4">
                  <c:v>2.4174330768906894E-2</c:v>
                </c:pt>
                <c:pt idx="5">
                  <c:v>0.17267381998544301</c:v>
                </c:pt>
                <c:pt idx="6">
                  <c:v>0.53720735042015322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D6-43ED-9D63-2C96FD8326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5" Type="http://schemas.openxmlformats.org/officeDocument/2006/relationships/chart" Target="../charts/chart5.xml" /><Relationship Id="rId10" Type="http://schemas.openxmlformats.org/officeDocument/2006/relationships/chart" Target="../charts/chart10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247650</xdr:colOff>
      <xdr:row>23</xdr:row>
      <xdr:rowOff>38089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9197BDB-7435-42F9-A835-781C403EC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82050" cy="4273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356216</xdr:colOff>
      <xdr:row>0</xdr:row>
      <xdr:rowOff>129352</xdr:rowOff>
    </xdr:from>
    <xdr:to>
      <xdr:col>18</xdr:col>
      <xdr:colOff>482130</xdr:colOff>
      <xdr:row>11</xdr:row>
      <xdr:rowOff>23519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2ECE6D-3B3A-490F-A7FA-334384A05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344671</xdr:colOff>
      <xdr:row>13</xdr:row>
      <xdr:rowOff>60960</xdr:rowOff>
    </xdr:from>
    <xdr:to>
      <xdr:col>18</xdr:col>
      <xdr:colOff>1034814</xdr:colOff>
      <xdr:row>28</xdr:row>
      <xdr:rowOff>128003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63CAA4-134B-4028-951F-74386F58A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49839</xdr:colOff>
      <xdr:row>31</xdr:row>
      <xdr:rowOff>89643</xdr:rowOff>
    </xdr:from>
    <xdr:to>
      <xdr:col>18</xdr:col>
      <xdr:colOff>703856</xdr:colOff>
      <xdr:row>40</xdr:row>
      <xdr:rowOff>153012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C2A788-0705-4E41-8A9A-DE6A93929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209550</xdr:colOff>
      <xdr:row>0</xdr:row>
      <xdr:rowOff>146050</xdr:rowOff>
    </xdr:from>
    <xdr:to>
      <xdr:col>29</xdr:col>
      <xdr:colOff>254000</xdr:colOff>
      <xdr:row>12</xdr:row>
      <xdr:rowOff>120650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DDD28A-C098-458A-A0F2-30D0EF57E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574871</xdr:colOff>
      <xdr:row>26</xdr:row>
      <xdr:rowOff>93054</xdr:rowOff>
    </xdr:from>
    <xdr:to>
      <xdr:col>27</xdr:col>
      <xdr:colOff>520895</xdr:colOff>
      <xdr:row>35</xdr:row>
      <xdr:rowOff>134329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9D029B-434F-40C9-AA2E-305808972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336746</xdr:colOff>
      <xdr:row>37</xdr:row>
      <xdr:rowOff>121433</xdr:rowOff>
    </xdr:from>
    <xdr:to>
      <xdr:col>28</xdr:col>
      <xdr:colOff>339921</xdr:colOff>
      <xdr:row>47</xdr:row>
      <xdr:rowOff>92857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1073F9-D08B-49BC-9053-F61AD279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302212</xdr:colOff>
      <xdr:row>50</xdr:row>
      <xdr:rowOff>44449</xdr:rowOff>
    </xdr:from>
    <xdr:to>
      <xdr:col>28</xdr:col>
      <xdr:colOff>445087</xdr:colOff>
      <xdr:row>61</xdr:row>
      <xdr:rowOff>79373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7575C7B-C473-4595-A2D0-43639B36C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314593</xdr:colOff>
      <xdr:row>44</xdr:row>
      <xdr:rowOff>91806</xdr:rowOff>
    </xdr:from>
    <xdr:to>
      <xdr:col>18</xdr:col>
      <xdr:colOff>1943253</xdr:colOff>
      <xdr:row>64</xdr:row>
      <xdr:rowOff>11424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F760F94-0A8F-4575-A619-6AA69EDD1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473075</xdr:colOff>
      <xdr:row>1</xdr:row>
      <xdr:rowOff>79375</xdr:rowOff>
    </xdr:from>
    <xdr:to>
      <xdr:col>41</xdr:col>
      <xdr:colOff>168275</xdr:colOff>
      <xdr:row>22</xdr:row>
      <xdr:rowOff>149225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65FE96A-027A-4947-BB2F-A15127388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120961</xdr:colOff>
      <xdr:row>13</xdr:row>
      <xdr:rowOff>91562</xdr:rowOff>
    </xdr:from>
    <xdr:to>
      <xdr:col>28</xdr:col>
      <xdr:colOff>570787</xdr:colOff>
      <xdr:row>25</xdr:row>
      <xdr:rowOff>85618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0586C7F-8790-47A7-809B-BBE3359C6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76201</xdr:rowOff>
    </xdr:from>
    <xdr:to>
      <xdr:col>16</xdr:col>
      <xdr:colOff>12700</xdr:colOff>
      <xdr:row>20</xdr:row>
      <xdr:rowOff>25401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909532-2AB0-4EBA-B41D-1B94121C0808}"/>
            </a:ext>
          </a:extLst>
        </xdr:cNvPr>
        <xdr:cNvSpPr txBox="1"/>
      </xdr:nvSpPr>
      <xdr:spPr>
        <a:xfrm>
          <a:off x="266700" y="76201"/>
          <a:ext cx="12954000" cy="375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Beverage Service Supplies | Beverage | Kitchenall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(n.d.). Kitchenall Restaurant Equipment. https://www.kitchenall.com/beverage-service-supplies.html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Hospitality Food &amp; Drink Supplies UK | Out of Eden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(n.d.). https://www.outofeden.co.uk/food-and-drink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Packaging | Monday Merch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(n.d.). https://shop.mondaymerch.com/shop/packaging-62?catalogue=new_design&amp;limit=1000&amp;sort_by=WEBSITE_SEQUENCE&amp;product_type=all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Ralph Lauren. (n.d.).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Ralph Lauren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https://www.ralphlauren.com/home-furniture?webcat=content-home-furniture&amp;ab=en_US_HomeLP_Slot_3_S1_L1_SHOP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Salary: valet parking in Madrid, Spain 2024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(n.d.). Glassdoor. https://www.glassdoor.ca/Salaries/madrid-valet-parking-salary-SRCH_IL.0,6_IM1030_KO7,20.htm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Statista. (2024, May 22).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Inflation rate in Spain 2029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https://www-statista-com.eu1.proxy.openathens.net/statistics/271077/inflation-rate-in-spain/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Sueldo: Housekeeper en  en 2024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(n.d.). Glassdoor. https://www.glassdoor.es/Salaries/spain-housekeeper-salary-SRCH_IL.0,5_IN219_KO6,17.htm?countryRedirect=true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Team, C. (2024, May 17).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Operating profit margin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Corporate Finance Institute. https://corporatefinanceinstitute.com/resources/accounting/operating-profit-margin/</a:t>
          </a:r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Technogym Artis® Run: Cinta de correr profesional amortiguada | Technogym España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(n.d.). https://www.technogym.com/es-ES/product/artis-run_DBK0.html?sfcampid=475559&amp;&amp;pdg=:cmp-17409859811:adg-:crv-:pos-:dev-c&amp;gad_source=1&amp;gclid=CjwKCAjwx-CyBhAqEiwAeOcTdXcY2IxVniH2wqk4Px_R49mlqOj3KRkPEOiuxDQ1Jy8DVieGFFfgbBoCykYQAvD_BwE&amp;gclsrc=aw.ds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/Library/Containers/net.whatsapp.WhatsApp/Data/tmp/documents/030A2BEE-396F-4908-9224-6F241626650E/Income%20statement%20final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 horizontal analysis"/>
      <sheetName val="P&amp;L"/>
      <sheetName val="Rooms Division Income Statement"/>
      <sheetName val="Wellness"/>
      <sheetName val="WA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ria POVALISHINA" id="{00EC218C-38A6-4AB8-919E-E61D35B8C467}" userId="S::d.povalishina_10828@students.lesroches.es::f75dd239-f9cf-423d-8fbb-aa272c55fd8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7" dT="2024-06-03T10:59:08.33" personId="{00EC218C-38A6-4AB8-919E-E61D35B8C467}" id="{9CF35115-6853-4177-BF26-7FA9D2ACAF81}">
    <text xml:space="preserve">Коллабарация с гольфом в вестин отель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Relationship Id="rId4" Type="http://schemas.microsoft.com/office/2017/10/relationships/threadedComment" Target="../threadedComments/threadedComment1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8881-1F5C-4C6B-B469-141EE3876B8B}">
  <dimension ref="A1"/>
  <sheetViews>
    <sheetView workbookViewId="0">
      <selection activeCell="P14" sqref="P14"/>
    </sheetView>
  </sheetViews>
  <sheetFormatPr defaultRowHeight="1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D2E5-8E39-474F-B9F6-1267968574DE}">
  <dimension ref="A1:T29"/>
  <sheetViews>
    <sheetView topLeftCell="F1" zoomScale="69" workbookViewId="0">
      <selection activeCell="N3" sqref="N3"/>
    </sheetView>
  </sheetViews>
  <sheetFormatPr defaultColWidth="10.76171875" defaultRowHeight="15" x14ac:dyDescent="0.2"/>
  <cols>
    <col min="1" max="1" width="27.98046875" bestFit="1" customWidth="1"/>
    <col min="2" max="2" width="14.9296875" customWidth="1"/>
    <col min="3" max="4" width="13.44921875" customWidth="1"/>
    <col min="5" max="5" width="10.4921875" customWidth="1"/>
    <col min="6" max="6" width="11.02734375" customWidth="1"/>
    <col min="7" max="7" width="11.1640625" customWidth="1"/>
    <col min="8" max="8" width="10.4921875" customWidth="1"/>
    <col min="9" max="9" width="10.76171875" customWidth="1"/>
    <col min="10" max="10" width="9.81640625" customWidth="1"/>
    <col min="11" max="11" width="23.40625" customWidth="1"/>
    <col min="12" max="12" width="13.5859375" customWidth="1"/>
    <col min="13" max="14" width="13.046875" customWidth="1"/>
    <col min="15" max="15" width="11.43359375" customWidth="1"/>
    <col min="16" max="16" width="11.02734375" customWidth="1"/>
    <col min="17" max="17" width="10.22265625" customWidth="1"/>
    <col min="18" max="18" width="11.97265625" customWidth="1"/>
    <col min="19" max="19" width="11.43359375" customWidth="1"/>
    <col min="20" max="20" width="11.8359375" customWidth="1"/>
  </cols>
  <sheetData>
    <row r="1" spans="1:20" ht="18.95" customHeight="1" thickBot="1" x14ac:dyDescent="0.25">
      <c r="A1" s="812" t="s">
        <v>331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</row>
    <row r="2" spans="1:20" ht="15.75" thickBot="1" x14ac:dyDescent="0.25">
      <c r="A2" s="286"/>
      <c r="B2" s="285"/>
      <c r="C2" s="285"/>
      <c r="D2" s="285"/>
      <c r="E2" s="811" t="s">
        <v>172</v>
      </c>
      <c r="F2" s="811"/>
      <c r="G2" s="811" t="s">
        <v>173</v>
      </c>
      <c r="H2" s="811"/>
      <c r="I2" s="811" t="s">
        <v>301</v>
      </c>
      <c r="J2" s="811"/>
      <c r="K2" s="285"/>
      <c r="L2" s="285"/>
      <c r="M2" s="285"/>
      <c r="N2" s="285"/>
      <c r="O2" s="811" t="s">
        <v>172</v>
      </c>
      <c r="P2" s="811"/>
      <c r="Q2" s="811" t="s">
        <v>173</v>
      </c>
      <c r="R2" s="811"/>
      <c r="S2" s="814" t="s">
        <v>301</v>
      </c>
      <c r="T2" s="815"/>
    </row>
    <row r="3" spans="1:20" ht="24" thickBot="1" x14ac:dyDescent="0.25">
      <c r="A3" s="426" t="s">
        <v>298</v>
      </c>
      <c r="B3" s="318">
        <v>2025</v>
      </c>
      <c r="C3" s="318">
        <v>2028</v>
      </c>
      <c r="D3" s="318">
        <v>2030</v>
      </c>
      <c r="E3" s="317" t="s">
        <v>300</v>
      </c>
      <c r="F3" s="317" t="s">
        <v>299</v>
      </c>
      <c r="G3" s="317" t="s">
        <v>300</v>
      </c>
      <c r="H3" s="317" t="s">
        <v>299</v>
      </c>
      <c r="I3" s="317" t="s">
        <v>300</v>
      </c>
      <c r="J3" s="317" t="s">
        <v>299</v>
      </c>
      <c r="K3" s="427" t="s">
        <v>295</v>
      </c>
      <c r="L3" s="318">
        <v>2025</v>
      </c>
      <c r="M3" s="318">
        <v>2028</v>
      </c>
      <c r="N3" s="318">
        <v>2030</v>
      </c>
      <c r="O3" s="317" t="s">
        <v>300</v>
      </c>
      <c r="P3" s="317" t="s">
        <v>299</v>
      </c>
      <c r="Q3" s="317" t="s">
        <v>300</v>
      </c>
      <c r="R3" s="317" t="s">
        <v>299</v>
      </c>
      <c r="S3" s="317" t="s">
        <v>300</v>
      </c>
      <c r="T3" s="317" t="s">
        <v>299</v>
      </c>
    </row>
    <row r="4" spans="1:20" x14ac:dyDescent="0.2">
      <c r="A4" s="235" t="s">
        <v>273</v>
      </c>
      <c r="B4" s="316">
        <v>54939.56</v>
      </c>
      <c r="C4" s="357">
        <v>74893.22</v>
      </c>
      <c r="D4" s="356">
        <v>82666.539999999994</v>
      </c>
      <c r="E4" s="302">
        <f t="shared" ref="E4:E9" si="0">C4-B4</f>
        <v>19953.660000000003</v>
      </c>
      <c r="F4" s="303">
        <f t="shared" ref="F4:F9" si="1">E4/B4</f>
        <v>0.36319293419896342</v>
      </c>
      <c r="G4" s="314">
        <f t="shared" ref="G4:G9" si="2">D4-C4</f>
        <v>7773.3199999999924</v>
      </c>
      <c r="H4" s="304">
        <f t="shared" ref="H4:H9" si="3">G4/C4</f>
        <v>0.10379203885211495</v>
      </c>
      <c r="I4" s="315">
        <f t="shared" ref="I4:I9" si="4">D4-B4</f>
        <v>27726.979999999996</v>
      </c>
      <c r="J4" s="304">
        <f t="shared" ref="J4:J9" si="5">I4/B4</f>
        <v>0.50468150818827084</v>
      </c>
      <c r="K4" s="237" t="s">
        <v>293</v>
      </c>
      <c r="L4" s="515">
        <v>1000000</v>
      </c>
      <c r="M4" s="516">
        <v>1058000</v>
      </c>
      <c r="N4" s="356">
        <v>994300</v>
      </c>
      <c r="O4" s="314">
        <f>M4-L4</f>
        <v>58000</v>
      </c>
      <c r="P4" s="304">
        <f>O4/L4</f>
        <v>5.8000000000000003E-2</v>
      </c>
      <c r="Q4" s="313">
        <f>N4-M4</f>
        <v>-63700</v>
      </c>
      <c r="R4" s="304">
        <f>Q4/M4</f>
        <v>-6.0207939508506614E-2</v>
      </c>
      <c r="S4" s="302">
        <f>N4-L4</f>
        <v>-5700</v>
      </c>
      <c r="T4" s="304">
        <f>S4/L4</f>
        <v>-5.7000000000000002E-3</v>
      </c>
    </row>
    <row r="5" spans="1:20" x14ac:dyDescent="0.2">
      <c r="A5" s="235" t="s">
        <v>272</v>
      </c>
      <c r="B5" s="499">
        <v>105000</v>
      </c>
      <c r="C5" s="357">
        <v>108000</v>
      </c>
      <c r="D5" s="356">
        <v>111000</v>
      </c>
      <c r="E5" s="297">
        <f t="shared" si="0"/>
        <v>3000</v>
      </c>
      <c r="F5" s="289">
        <f t="shared" si="1"/>
        <v>2.8571428571428571E-2</v>
      </c>
      <c r="G5" s="310">
        <f t="shared" si="2"/>
        <v>3000</v>
      </c>
      <c r="H5" s="256">
        <f t="shared" si="3"/>
        <v>2.7777777777777776E-2</v>
      </c>
      <c r="I5" s="288">
        <f t="shared" si="4"/>
        <v>6000</v>
      </c>
      <c r="J5" s="256">
        <f t="shared" si="5"/>
        <v>5.7142857142857141E-2</v>
      </c>
      <c r="K5" s="237" t="s">
        <v>292</v>
      </c>
      <c r="L5" s="517">
        <v>400000</v>
      </c>
      <c r="M5" s="516">
        <v>0</v>
      </c>
      <c r="N5" s="356">
        <v>0</v>
      </c>
      <c r="O5" s="310">
        <f>M5-L5</f>
        <v>-400000</v>
      </c>
      <c r="P5" s="256">
        <f>O5/L5</f>
        <v>-1</v>
      </c>
      <c r="Q5" s="312">
        <f>N5-M5</f>
        <v>0</v>
      </c>
      <c r="R5" s="256" t="e">
        <f>Q5/M5</f>
        <v>#DIV/0!</v>
      </c>
      <c r="S5" s="297">
        <f>N5-L5</f>
        <v>-400000</v>
      </c>
      <c r="T5" s="256">
        <f>S5/L5</f>
        <v>-1</v>
      </c>
    </row>
    <row r="6" spans="1:20" x14ac:dyDescent="0.2">
      <c r="A6" s="235" t="s">
        <v>271</v>
      </c>
      <c r="B6" s="499">
        <v>550000</v>
      </c>
      <c r="C6" s="357">
        <v>529360</v>
      </c>
      <c r="D6" s="356">
        <v>557118</v>
      </c>
      <c r="E6" s="297">
        <f t="shared" si="0"/>
        <v>-20640</v>
      </c>
      <c r="F6" s="289">
        <f t="shared" si="1"/>
        <v>-3.7527272727272729E-2</v>
      </c>
      <c r="G6" s="310">
        <f t="shared" si="2"/>
        <v>27758</v>
      </c>
      <c r="H6" s="256">
        <f t="shared" si="3"/>
        <v>5.2436904941816534E-2</v>
      </c>
      <c r="I6" s="288">
        <f t="shared" si="4"/>
        <v>7118</v>
      </c>
      <c r="J6" s="256">
        <f t="shared" si="5"/>
        <v>1.2941818181818181E-2</v>
      </c>
      <c r="K6" s="237" t="s">
        <v>294</v>
      </c>
      <c r="L6" s="517">
        <v>1860400</v>
      </c>
      <c r="M6" s="516">
        <f>(L6*1.8%)+L6</f>
        <v>1893887.2</v>
      </c>
      <c r="N6" s="356">
        <f>(M6*1.8%)+M6</f>
        <v>1927977.1695999999</v>
      </c>
      <c r="O6" s="310">
        <f>M6-L6</f>
        <v>33487.199999999953</v>
      </c>
      <c r="P6" s="256">
        <f>O6/L6</f>
        <v>1.7999999999999974E-2</v>
      </c>
      <c r="Q6" s="312">
        <f>N6-M6</f>
        <v>34089.969599999953</v>
      </c>
      <c r="R6" s="256">
        <f>Q6/M6</f>
        <v>1.7999999999999974E-2</v>
      </c>
      <c r="S6" s="297">
        <f>N6-L6</f>
        <v>67577.169599999906</v>
      </c>
      <c r="T6" s="256">
        <f>S6/L6</f>
        <v>3.6323999999999947E-2</v>
      </c>
    </row>
    <row r="7" spans="1:20" ht="15.75" thickBot="1" x14ac:dyDescent="0.25">
      <c r="A7" s="235" t="s">
        <v>234</v>
      </c>
      <c r="B7" s="499">
        <v>150000</v>
      </c>
      <c r="C7" s="357">
        <v>0</v>
      </c>
      <c r="D7" s="356">
        <v>150000</v>
      </c>
      <c r="E7" s="297">
        <f t="shared" si="0"/>
        <v>-150000</v>
      </c>
      <c r="F7" s="289">
        <f t="shared" si="1"/>
        <v>-1</v>
      </c>
      <c r="G7" s="310">
        <f t="shared" si="2"/>
        <v>150000</v>
      </c>
      <c r="H7" s="256" t="e">
        <f>G7/C7</f>
        <v>#DIV/0!</v>
      </c>
      <c r="I7" s="288">
        <f t="shared" si="4"/>
        <v>0</v>
      </c>
      <c r="J7" s="256">
        <f t="shared" si="5"/>
        <v>0</v>
      </c>
      <c r="K7" s="428" t="s">
        <v>248</v>
      </c>
      <c r="L7" s="518">
        <v>700000</v>
      </c>
      <c r="M7" s="505">
        <v>614000</v>
      </c>
      <c r="N7" s="505">
        <v>678300</v>
      </c>
      <c r="O7" s="309">
        <f>M7-L7</f>
        <v>-86000</v>
      </c>
      <c r="P7" s="295">
        <f>O7/L7</f>
        <v>-0.12285714285714286</v>
      </c>
      <c r="Q7" s="311">
        <f>N7-M7</f>
        <v>64300</v>
      </c>
      <c r="R7" s="295">
        <f>Q7/M7</f>
        <v>0.10472312703583062</v>
      </c>
      <c r="S7" s="296">
        <f>N7-L7</f>
        <v>-21700</v>
      </c>
      <c r="T7" s="295">
        <f>S7/L7</f>
        <v>-3.1E-2</v>
      </c>
    </row>
    <row r="8" spans="1:20" x14ac:dyDescent="0.2">
      <c r="A8" s="298" t="s">
        <v>270</v>
      </c>
      <c r="B8" s="500">
        <v>68000</v>
      </c>
      <c r="C8" s="501">
        <v>41000</v>
      </c>
      <c r="D8" s="502">
        <v>38000</v>
      </c>
      <c r="E8" s="297">
        <f t="shared" si="0"/>
        <v>-27000</v>
      </c>
      <c r="F8" s="289">
        <f t="shared" si="1"/>
        <v>-0.39705882352941174</v>
      </c>
      <c r="G8" s="310">
        <f t="shared" si="2"/>
        <v>-3000</v>
      </c>
      <c r="H8" s="256">
        <f t="shared" si="3"/>
        <v>-7.3170731707317069E-2</v>
      </c>
      <c r="I8" s="288">
        <f t="shared" si="4"/>
        <v>-30000</v>
      </c>
      <c r="J8" s="256">
        <f t="shared" si="5"/>
        <v>-0.44117647058823528</v>
      </c>
      <c r="K8" s="237"/>
      <c r="L8" s="293"/>
      <c r="M8" s="287"/>
      <c r="N8" s="287"/>
      <c r="O8" s="288"/>
      <c r="P8" s="289"/>
      <c r="Q8" s="288"/>
      <c r="R8" s="289"/>
      <c r="S8" s="288"/>
      <c r="T8" s="287"/>
    </row>
    <row r="9" spans="1:20" ht="15.75" thickBot="1" x14ac:dyDescent="0.25">
      <c r="A9" s="429" t="s">
        <v>291</v>
      </c>
      <c r="B9" s="503">
        <v>1860400</v>
      </c>
      <c r="C9" s="504">
        <f>(B9*1.8%)+B9</f>
        <v>1893887.2</v>
      </c>
      <c r="D9" s="505">
        <f>(C9*1.8%)+C9</f>
        <v>1927977.1695999999</v>
      </c>
      <c r="E9" s="296">
        <f t="shared" si="0"/>
        <v>33487.199999999953</v>
      </c>
      <c r="F9" s="300">
        <f t="shared" si="1"/>
        <v>1.7999999999999974E-2</v>
      </c>
      <c r="G9" s="309">
        <f t="shared" si="2"/>
        <v>34089.969599999953</v>
      </c>
      <c r="H9" s="295">
        <f t="shared" si="3"/>
        <v>1.7999999999999974E-2</v>
      </c>
      <c r="I9" s="308">
        <f t="shared" si="4"/>
        <v>67577.169599999906</v>
      </c>
      <c r="J9" s="295">
        <f t="shared" si="5"/>
        <v>3.6323999999999947E-2</v>
      </c>
      <c r="L9" s="293"/>
      <c r="M9" s="287"/>
      <c r="N9" s="287"/>
      <c r="O9" s="288"/>
      <c r="P9" s="289"/>
      <c r="Q9" s="288"/>
      <c r="R9" s="289"/>
      <c r="S9" s="288"/>
      <c r="T9" s="287"/>
    </row>
    <row r="10" spans="1:20" ht="15.75" thickBot="1" x14ac:dyDescent="0.25">
      <c r="A10" s="235"/>
      <c r="B10" s="292"/>
      <c r="C10" s="258"/>
      <c r="D10" s="258"/>
      <c r="E10" s="288"/>
      <c r="F10" s="289"/>
      <c r="G10" s="288"/>
      <c r="H10" s="289"/>
      <c r="I10" s="288"/>
      <c r="J10" s="301"/>
      <c r="K10" s="237"/>
      <c r="L10" s="307"/>
      <c r="M10" s="306"/>
      <c r="N10" s="287"/>
      <c r="O10" s="288"/>
      <c r="P10" s="289"/>
      <c r="Q10" s="288"/>
      <c r="R10" s="289"/>
      <c r="S10" s="288"/>
      <c r="T10" s="287"/>
    </row>
    <row r="11" spans="1:20" ht="15.75" thickBot="1" x14ac:dyDescent="0.25">
      <c r="A11" s="432" t="s">
        <v>278</v>
      </c>
      <c r="B11" s="506">
        <f>SUM(B4:B9)</f>
        <v>2788339.56</v>
      </c>
      <c r="C11" s="506">
        <f>SUM(C4:C9)</f>
        <v>2647140.42</v>
      </c>
      <c r="D11" s="506">
        <f>SUM(D4:D9)</f>
        <v>2866761.7095999997</v>
      </c>
      <c r="E11" s="435">
        <f>C11-B11</f>
        <v>-141199.14000000013</v>
      </c>
      <c r="F11" s="434">
        <f>E11/B11</f>
        <v>-5.0639148124412843E-2</v>
      </c>
      <c r="G11" s="435">
        <f>D11-C11</f>
        <v>219621.28959999979</v>
      </c>
      <c r="H11" s="434">
        <f>G11/C11</f>
        <v>8.2965485299038189E-2</v>
      </c>
      <c r="I11" s="435">
        <f>D11-B11</f>
        <v>78422.149599999655</v>
      </c>
      <c r="J11" s="434">
        <f>I11/B11</f>
        <v>2.8125035675353561E-2</v>
      </c>
      <c r="K11" s="442" t="s">
        <v>81</v>
      </c>
      <c r="L11" s="519">
        <f>L4+L6+L7+L5</f>
        <v>3960400</v>
      </c>
      <c r="M11" s="519">
        <f>M4+M6+M7+M5</f>
        <v>3565887.2</v>
      </c>
      <c r="N11" s="519">
        <f>N4+N6+N7+N5</f>
        <v>3600577.1695999997</v>
      </c>
      <c r="O11" s="435">
        <f>M11-L11</f>
        <v>-394512.79999999981</v>
      </c>
      <c r="P11" s="434">
        <f>O11/L11</f>
        <v>-9.9614382385617567E-2</v>
      </c>
      <c r="Q11" s="435">
        <f>N11-M11</f>
        <v>34689.969599999487</v>
      </c>
      <c r="R11" s="434">
        <f>Q11/M11</f>
        <v>9.7282857405022478E-3</v>
      </c>
      <c r="S11" s="435">
        <f>N11-L11</f>
        <v>-359822.83040000033</v>
      </c>
      <c r="T11" s="434">
        <f>S11/L11</f>
        <v>-9.0855173820826265E-2</v>
      </c>
    </row>
    <row r="12" spans="1:20" ht="15.75" thickBot="1" x14ac:dyDescent="0.25">
      <c r="A12" s="235"/>
      <c r="B12" s="292"/>
      <c r="C12" s="258"/>
      <c r="D12" s="258"/>
      <c r="E12" s="288"/>
      <c r="F12" s="289"/>
      <c r="G12" s="288"/>
      <c r="H12" s="289"/>
      <c r="I12" s="288"/>
      <c r="J12" s="294"/>
      <c r="K12" s="237"/>
      <c r="L12" s="291"/>
      <c r="M12" s="290"/>
      <c r="N12" s="287"/>
      <c r="O12" s="288"/>
      <c r="P12" s="289"/>
      <c r="Q12" s="288"/>
      <c r="R12" s="289"/>
      <c r="S12" s="288"/>
      <c r="T12" s="287"/>
    </row>
    <row r="13" spans="1:20" ht="15.75" thickBot="1" x14ac:dyDescent="0.25">
      <c r="A13" s="431" t="s">
        <v>290</v>
      </c>
      <c r="B13" s="292"/>
      <c r="C13" s="258"/>
      <c r="D13" s="258"/>
      <c r="E13" s="288"/>
      <c r="F13" s="289"/>
      <c r="G13" s="288"/>
      <c r="H13" s="289"/>
      <c r="I13" s="288"/>
      <c r="J13" s="305"/>
      <c r="K13" s="438" t="s">
        <v>289</v>
      </c>
      <c r="L13" s="291"/>
      <c r="M13" s="290"/>
      <c r="N13" s="287"/>
      <c r="O13" s="288"/>
      <c r="P13" s="289"/>
      <c r="Q13" s="288"/>
      <c r="R13" s="289"/>
      <c r="S13" s="288"/>
      <c r="T13" s="287"/>
    </row>
    <row r="14" spans="1:20" x14ac:dyDescent="0.2">
      <c r="A14" s="430" t="s">
        <v>286</v>
      </c>
      <c r="B14" s="507">
        <v>500000</v>
      </c>
      <c r="C14" s="508">
        <f>B14-(B14*0.05)</f>
        <v>475000</v>
      </c>
      <c r="D14" s="509">
        <f>C14-(C14*0.05)</f>
        <v>451250</v>
      </c>
      <c r="E14" s="302">
        <f t="shared" ref="E14:E22" si="6">C14-B14</f>
        <v>-25000</v>
      </c>
      <c r="F14" s="304">
        <f t="shared" ref="F14:F22" si="7">E14/B14</f>
        <v>-0.05</v>
      </c>
      <c r="G14" s="302">
        <f t="shared" ref="G14:G22" si="8">D14-C14</f>
        <v>-23750</v>
      </c>
      <c r="H14" s="304">
        <f t="shared" ref="H14:H22" si="9">G14/C14</f>
        <v>-0.05</v>
      </c>
      <c r="I14" s="302">
        <f t="shared" ref="I14:I22" si="10">D14-B14</f>
        <v>-48750</v>
      </c>
      <c r="J14" s="304">
        <f t="shared" ref="J14:J22" si="11">I14/B14</f>
        <v>-9.7500000000000003E-2</v>
      </c>
      <c r="K14" s="439" t="s">
        <v>287</v>
      </c>
      <c r="L14" s="515">
        <v>360000</v>
      </c>
      <c r="M14" s="520">
        <v>348600</v>
      </c>
      <c r="N14" s="520">
        <v>301200</v>
      </c>
      <c r="O14" s="302">
        <f>M14-L14</f>
        <v>-11400</v>
      </c>
      <c r="P14" s="303">
        <f>O14/L14</f>
        <v>-3.1666666666666669E-2</v>
      </c>
      <c r="Q14" s="302">
        <f>N14-M14</f>
        <v>-47400</v>
      </c>
      <c r="R14" s="303">
        <f>Q14/M14</f>
        <v>-0.13597246127366611</v>
      </c>
      <c r="S14" s="302">
        <f>N14-L14</f>
        <v>-58800</v>
      </c>
      <c r="T14" s="301">
        <f>S14/L14</f>
        <v>-0.16333333333333333</v>
      </c>
    </row>
    <row r="15" spans="1:20" ht="15.75" thickBot="1" x14ac:dyDescent="0.25">
      <c r="A15" s="298" t="s">
        <v>268</v>
      </c>
      <c r="B15" s="499">
        <v>1700000</v>
      </c>
      <c r="C15" s="501">
        <f>B15-(B15*0.03)</f>
        <v>1649000</v>
      </c>
      <c r="D15" s="502">
        <f>C15-(C15*0.05)</f>
        <v>1566550</v>
      </c>
      <c r="E15" s="297">
        <f t="shared" si="6"/>
        <v>-51000</v>
      </c>
      <c r="F15" s="256">
        <f t="shared" si="7"/>
        <v>-0.03</v>
      </c>
      <c r="G15" s="297">
        <f t="shared" si="8"/>
        <v>-82450</v>
      </c>
      <c r="H15" s="256">
        <f t="shared" si="9"/>
        <v>-0.05</v>
      </c>
      <c r="I15" s="297">
        <f t="shared" si="10"/>
        <v>-133450</v>
      </c>
      <c r="J15" s="256">
        <f t="shared" si="11"/>
        <v>-7.85E-2</v>
      </c>
      <c r="K15" s="428" t="s">
        <v>285</v>
      </c>
      <c r="L15" s="521">
        <v>2571429</v>
      </c>
      <c r="M15" s="512">
        <v>1258714</v>
      </c>
      <c r="N15" s="505">
        <v>428571</v>
      </c>
      <c r="O15" s="296">
        <f>M15-L15</f>
        <v>-1312715</v>
      </c>
      <c r="P15" s="300">
        <f>O15/L15</f>
        <v>-0.51050019269441238</v>
      </c>
      <c r="Q15" s="296">
        <f>N15-M15</f>
        <v>-830143</v>
      </c>
      <c r="R15" s="300">
        <f>Q15/M15</f>
        <v>-0.65951677664664099</v>
      </c>
      <c r="S15" s="296">
        <f>N15-L15</f>
        <v>-2142858</v>
      </c>
      <c r="T15" s="299">
        <f>S15/L15</f>
        <v>-0.83333352777774539</v>
      </c>
    </row>
    <row r="16" spans="1:20" ht="15.75" thickBot="1" x14ac:dyDescent="0.25">
      <c r="A16" s="298" t="s">
        <v>266</v>
      </c>
      <c r="B16" s="500">
        <v>1210000</v>
      </c>
      <c r="C16" s="501">
        <f>B16-(B16*0.05)</f>
        <v>1149500</v>
      </c>
      <c r="D16" s="502">
        <f>C16-(C16*0.08)</f>
        <v>1057540</v>
      </c>
      <c r="E16" s="297">
        <f t="shared" si="6"/>
        <v>-60500</v>
      </c>
      <c r="F16" s="256">
        <f t="shared" si="7"/>
        <v>-0.05</v>
      </c>
      <c r="G16" s="297">
        <f t="shared" si="8"/>
        <v>-91960</v>
      </c>
      <c r="H16" s="256">
        <f t="shared" si="9"/>
        <v>-0.08</v>
      </c>
      <c r="I16" s="297">
        <f t="shared" si="10"/>
        <v>-152460</v>
      </c>
      <c r="J16" s="256">
        <f t="shared" si="11"/>
        <v>-0.126</v>
      </c>
      <c r="L16" s="522"/>
      <c r="M16" s="523"/>
      <c r="N16" s="516"/>
      <c r="O16" s="288"/>
      <c r="P16" s="289"/>
      <c r="Q16" s="288"/>
      <c r="R16" s="289"/>
      <c r="S16" s="288"/>
      <c r="T16" s="287"/>
    </row>
    <row r="17" spans="1:20" ht="15.75" thickBot="1" x14ac:dyDescent="0.25">
      <c r="A17" s="298" t="s">
        <v>265</v>
      </c>
      <c r="B17" s="500">
        <v>900000</v>
      </c>
      <c r="C17" s="501">
        <f>B17-(B17*0.1)</f>
        <v>810000</v>
      </c>
      <c r="D17" s="502">
        <f>C17-(C17*0.11)</f>
        <v>720900</v>
      </c>
      <c r="E17" s="297">
        <f t="shared" si="6"/>
        <v>-90000</v>
      </c>
      <c r="F17" s="256">
        <f t="shared" si="7"/>
        <v>-0.1</v>
      </c>
      <c r="G17" s="297">
        <f t="shared" si="8"/>
        <v>-89100</v>
      </c>
      <c r="H17" s="256">
        <f t="shared" si="9"/>
        <v>-0.11</v>
      </c>
      <c r="I17" s="297">
        <f t="shared" si="10"/>
        <v>-179100</v>
      </c>
      <c r="J17" s="256">
        <f t="shared" si="11"/>
        <v>-0.19900000000000001</v>
      </c>
      <c r="K17" s="433" t="s">
        <v>81</v>
      </c>
      <c r="L17" s="524">
        <f>SUM(L14:L15)</f>
        <v>2931429</v>
      </c>
      <c r="M17" s="524">
        <f>SUM(M14:M15)</f>
        <v>1607314</v>
      </c>
      <c r="N17" s="524">
        <f>SUM(N14:N15)</f>
        <v>729771</v>
      </c>
      <c r="O17" s="435">
        <f>M17-L17</f>
        <v>-1324115</v>
      </c>
      <c r="P17" s="434">
        <f>O17/L17</f>
        <v>-0.4516960840600267</v>
      </c>
      <c r="Q17" s="435">
        <f>N17-M17</f>
        <v>-877543</v>
      </c>
      <c r="R17" s="434">
        <f>Q17/M17</f>
        <v>-0.54596861596427326</v>
      </c>
      <c r="S17" s="435">
        <f>N17-L17</f>
        <v>-2201658</v>
      </c>
      <c r="T17" s="434">
        <f>S17/L17</f>
        <v>-0.75105281417356518</v>
      </c>
    </row>
    <row r="18" spans="1:20" x14ac:dyDescent="0.2">
      <c r="A18" s="298" t="s">
        <v>264</v>
      </c>
      <c r="B18" s="500">
        <v>800000</v>
      </c>
      <c r="C18" s="501">
        <f>B18-(B18*0.025)</f>
        <v>780000</v>
      </c>
      <c r="D18" s="502">
        <f>C18-(C18*0.03)</f>
        <v>756600</v>
      </c>
      <c r="E18" s="297">
        <f t="shared" si="6"/>
        <v>-20000</v>
      </c>
      <c r="F18" s="256">
        <f t="shared" si="7"/>
        <v>-2.5000000000000001E-2</v>
      </c>
      <c r="G18" s="297">
        <f t="shared" si="8"/>
        <v>-23400</v>
      </c>
      <c r="H18" s="256">
        <f t="shared" si="9"/>
        <v>-0.03</v>
      </c>
      <c r="I18" s="297">
        <f t="shared" si="10"/>
        <v>-43400</v>
      </c>
      <c r="J18" s="256">
        <f t="shared" si="11"/>
        <v>-5.425E-2</v>
      </c>
      <c r="K18" s="237"/>
      <c r="L18" s="291"/>
      <c r="M18" s="290"/>
      <c r="N18" s="287"/>
      <c r="O18" s="288"/>
      <c r="P18" s="289"/>
      <c r="Q18" s="288"/>
      <c r="R18" s="289"/>
      <c r="S18" s="288"/>
      <c r="T18" s="287"/>
    </row>
    <row r="19" spans="1:20" x14ac:dyDescent="0.2">
      <c r="A19" s="298" t="s">
        <v>263</v>
      </c>
      <c r="B19" s="500">
        <v>45000</v>
      </c>
      <c r="C19" s="501">
        <f>B19-(B19*0.01)</f>
        <v>44550</v>
      </c>
      <c r="D19" s="502">
        <f>C19-(C19*0.025)</f>
        <v>43436.25</v>
      </c>
      <c r="E19" s="297">
        <f t="shared" si="6"/>
        <v>-450</v>
      </c>
      <c r="F19" s="256">
        <f t="shared" si="7"/>
        <v>-0.01</v>
      </c>
      <c r="G19" s="297">
        <f t="shared" si="8"/>
        <v>-1113.75</v>
      </c>
      <c r="H19" s="256">
        <f t="shared" si="9"/>
        <v>-2.5000000000000001E-2</v>
      </c>
      <c r="I19" s="297">
        <f t="shared" si="10"/>
        <v>-1563.75</v>
      </c>
      <c r="J19" s="256">
        <f t="shared" si="11"/>
        <v>-3.4750000000000003E-2</v>
      </c>
      <c r="K19" s="237"/>
      <c r="L19" s="291"/>
      <c r="M19" s="290"/>
      <c r="N19" s="287"/>
      <c r="O19" s="288"/>
      <c r="P19" s="289"/>
      <c r="Q19" s="288"/>
      <c r="R19" s="289"/>
      <c r="S19" s="288"/>
      <c r="T19" s="287"/>
    </row>
    <row r="20" spans="1:20" x14ac:dyDescent="0.2">
      <c r="A20" s="298" t="s">
        <v>262</v>
      </c>
      <c r="B20" s="500">
        <v>135000</v>
      </c>
      <c r="C20" s="501">
        <f>B20-(B20*0.035)</f>
        <v>130275</v>
      </c>
      <c r="D20" s="502">
        <f>C20-(C20*0.05)</f>
        <v>123761.25</v>
      </c>
      <c r="E20" s="297">
        <f t="shared" si="6"/>
        <v>-4725</v>
      </c>
      <c r="F20" s="256">
        <f t="shared" si="7"/>
        <v>-3.5000000000000003E-2</v>
      </c>
      <c r="G20" s="297">
        <f t="shared" si="8"/>
        <v>-6513.75</v>
      </c>
      <c r="H20" s="256">
        <f t="shared" si="9"/>
        <v>-0.05</v>
      </c>
      <c r="I20" s="297">
        <f t="shared" si="10"/>
        <v>-11238.75</v>
      </c>
      <c r="J20" s="256">
        <f t="shared" si="11"/>
        <v>-8.3250000000000005E-2</v>
      </c>
      <c r="K20" s="237"/>
      <c r="L20" s="291"/>
      <c r="M20" s="290"/>
      <c r="N20" s="287"/>
      <c r="O20" s="288"/>
      <c r="P20" s="289"/>
      <c r="Q20" s="288"/>
      <c r="R20" s="289"/>
      <c r="S20" s="288"/>
      <c r="T20" s="287"/>
    </row>
    <row r="21" spans="1:20" x14ac:dyDescent="0.2">
      <c r="A21" s="298" t="s">
        <v>261</v>
      </c>
      <c r="B21" s="499">
        <v>64000</v>
      </c>
      <c r="C21" s="357">
        <v>64000</v>
      </c>
      <c r="D21" s="356">
        <v>64000</v>
      </c>
      <c r="E21" s="297">
        <f t="shared" si="6"/>
        <v>0</v>
      </c>
      <c r="F21" s="256">
        <f t="shared" si="7"/>
        <v>0</v>
      </c>
      <c r="G21" s="297">
        <f t="shared" si="8"/>
        <v>0</v>
      </c>
      <c r="H21" s="256">
        <f t="shared" si="9"/>
        <v>0</v>
      </c>
      <c r="I21" s="297">
        <f t="shared" si="10"/>
        <v>0</v>
      </c>
      <c r="J21" s="256">
        <f t="shared" si="11"/>
        <v>0</v>
      </c>
      <c r="K21" s="237"/>
      <c r="L21" s="291"/>
      <c r="M21" s="290"/>
      <c r="N21" s="287"/>
      <c r="O21" s="288"/>
      <c r="P21" s="289"/>
      <c r="Q21" s="288"/>
      <c r="R21" s="289"/>
      <c r="S21" s="288"/>
      <c r="T21" s="287"/>
    </row>
    <row r="22" spans="1:20" ht="15.75" thickBot="1" x14ac:dyDescent="0.25">
      <c r="A22" s="428" t="s">
        <v>283</v>
      </c>
      <c r="B22" s="510">
        <v>120000</v>
      </c>
      <c r="C22" s="511">
        <f>B22-(B22*0.04)</f>
        <v>115200</v>
      </c>
      <c r="D22" s="512">
        <f>C22-(C22*0.055)</f>
        <v>108864</v>
      </c>
      <c r="E22" s="296">
        <f t="shared" si="6"/>
        <v>-4800</v>
      </c>
      <c r="F22" s="295">
        <f t="shared" si="7"/>
        <v>-0.04</v>
      </c>
      <c r="G22" s="296">
        <f t="shared" si="8"/>
        <v>-6336</v>
      </c>
      <c r="H22" s="295">
        <f t="shared" si="9"/>
        <v>-5.5E-2</v>
      </c>
      <c r="I22" s="296">
        <f t="shared" si="10"/>
        <v>-11136</v>
      </c>
      <c r="J22" s="295">
        <f t="shared" si="11"/>
        <v>-9.2799999999999994E-2</v>
      </c>
      <c r="L22" s="291"/>
      <c r="M22" s="290"/>
      <c r="N22" s="287"/>
      <c r="O22" s="288"/>
      <c r="P22" s="289"/>
      <c r="Q22" s="288"/>
      <c r="R22" s="289"/>
      <c r="S22" s="288"/>
      <c r="T22" s="287"/>
    </row>
    <row r="23" spans="1:20" ht="15.75" thickBot="1" x14ac:dyDescent="0.25">
      <c r="A23" s="235"/>
      <c r="B23" s="500"/>
      <c r="C23" s="501"/>
      <c r="D23" s="501"/>
      <c r="E23" s="288"/>
      <c r="F23" s="289"/>
      <c r="G23" s="288"/>
      <c r="H23" s="289"/>
      <c r="I23" s="288"/>
      <c r="J23" s="290"/>
      <c r="K23" s="426" t="s">
        <v>284</v>
      </c>
      <c r="L23" s="291"/>
      <c r="M23" s="290"/>
      <c r="N23" s="287"/>
      <c r="O23" s="288"/>
      <c r="P23" s="289"/>
      <c r="Q23" s="288"/>
      <c r="R23" s="289"/>
      <c r="S23" s="288"/>
      <c r="T23" s="287"/>
    </row>
    <row r="24" spans="1:20" ht="15.75" thickBot="1" x14ac:dyDescent="0.25">
      <c r="A24" s="432" t="s">
        <v>277</v>
      </c>
      <c r="B24" s="506">
        <f>SUM(B14:B22)</f>
        <v>5474000</v>
      </c>
      <c r="C24" s="506">
        <f>SUM(C14:C22)</f>
        <v>5217525</v>
      </c>
      <c r="D24" s="506">
        <f>SUM(D14:D22)</f>
        <v>4892901.5</v>
      </c>
      <c r="E24" s="435">
        <f>C24-B24</f>
        <v>-256475</v>
      </c>
      <c r="F24" s="434">
        <f>E24/B24</f>
        <v>-4.6853306540007307E-2</v>
      </c>
      <c r="G24" s="435">
        <f>D24-C24</f>
        <v>-324623.5</v>
      </c>
      <c r="H24" s="434">
        <f>G24/C24</f>
        <v>-6.2217909832727201E-2</v>
      </c>
      <c r="I24" s="435">
        <f>D24-B24</f>
        <v>-581098.5</v>
      </c>
      <c r="J24" s="434">
        <f>I24/B24</f>
        <v>-0.10615610157106321</v>
      </c>
      <c r="K24" s="243" t="s">
        <v>279</v>
      </c>
      <c r="L24" s="525">
        <v>8000000</v>
      </c>
      <c r="M24" s="526">
        <v>8000000</v>
      </c>
      <c r="N24" s="526">
        <v>8000000</v>
      </c>
      <c r="O24" s="440">
        <f>M24-L24</f>
        <v>0</v>
      </c>
      <c r="P24" s="441">
        <f>O24/L24</f>
        <v>0</v>
      </c>
      <c r="Q24" s="440">
        <f>N24-M24</f>
        <v>0</v>
      </c>
      <c r="R24" s="441">
        <f>Q24/M24</f>
        <v>0</v>
      </c>
      <c r="S24" s="440">
        <f>N24-L24</f>
        <v>0</v>
      </c>
      <c r="T24" s="441">
        <f>S24/L24</f>
        <v>0</v>
      </c>
    </row>
    <row r="25" spans="1:20" x14ac:dyDescent="0.2">
      <c r="A25" s="235"/>
      <c r="B25" s="292"/>
      <c r="C25" s="258"/>
      <c r="D25" s="258"/>
      <c r="E25" s="288"/>
      <c r="F25" s="289"/>
      <c r="G25" s="288"/>
      <c r="H25" s="289"/>
      <c r="I25" s="288"/>
      <c r="J25" s="290"/>
      <c r="K25" s="237"/>
      <c r="L25" s="517"/>
      <c r="M25" s="516"/>
      <c r="N25" s="516"/>
      <c r="O25" s="288"/>
      <c r="P25" s="289"/>
      <c r="Q25" s="288"/>
      <c r="R25" s="289"/>
      <c r="S25" s="288"/>
      <c r="T25" s="287"/>
    </row>
    <row r="26" spans="1:20" ht="15.75" thickBot="1" x14ac:dyDescent="0.25">
      <c r="A26" s="235"/>
      <c r="B26" s="292"/>
      <c r="C26" s="258"/>
      <c r="D26" s="258"/>
      <c r="E26" s="288"/>
      <c r="F26" s="289"/>
      <c r="G26" s="288"/>
      <c r="H26" s="289"/>
      <c r="I26" s="288"/>
      <c r="J26" s="290"/>
      <c r="K26" s="237"/>
      <c r="L26" s="527"/>
      <c r="M26" s="523"/>
      <c r="N26" s="516"/>
      <c r="O26" s="288"/>
      <c r="P26" s="289"/>
      <c r="Q26" s="288"/>
      <c r="R26" s="289"/>
      <c r="S26" s="288"/>
      <c r="T26" s="287"/>
    </row>
    <row r="27" spans="1:20" ht="15.75" thickBot="1" x14ac:dyDescent="0.25">
      <c r="A27" s="235"/>
      <c r="B27" s="292"/>
      <c r="C27" s="258"/>
      <c r="D27" s="258"/>
      <c r="E27" s="288"/>
      <c r="F27" s="289"/>
      <c r="G27" s="288"/>
      <c r="H27" s="289"/>
      <c r="I27" s="288"/>
      <c r="J27" s="290"/>
      <c r="K27" s="433" t="s">
        <v>282</v>
      </c>
      <c r="L27" s="524">
        <f>L24</f>
        <v>8000000</v>
      </c>
      <c r="M27" s="524">
        <f>M24</f>
        <v>8000000</v>
      </c>
      <c r="N27" s="519">
        <f>N24</f>
        <v>8000000</v>
      </c>
      <c r="O27" s="440">
        <f>M27-L27</f>
        <v>0</v>
      </c>
      <c r="P27" s="441">
        <f>O27/L27</f>
        <v>0</v>
      </c>
      <c r="Q27" s="440">
        <f>N27-M27</f>
        <v>0</v>
      </c>
      <c r="R27" s="441">
        <f>Q27/M27</f>
        <v>0</v>
      </c>
      <c r="S27" s="440">
        <f>N27-L27</f>
        <v>0</v>
      </c>
      <c r="T27" s="441">
        <f>S27/L27</f>
        <v>0</v>
      </c>
    </row>
    <row r="28" spans="1:20" ht="15.75" thickBot="1" x14ac:dyDescent="0.25">
      <c r="A28" s="235"/>
      <c r="B28" s="292"/>
      <c r="C28" s="258"/>
      <c r="D28" s="258"/>
      <c r="E28" s="288"/>
      <c r="F28" s="289"/>
      <c r="G28" s="288"/>
      <c r="H28" s="289"/>
      <c r="I28" s="288"/>
      <c r="J28" s="290"/>
      <c r="K28" s="237"/>
      <c r="L28" s="527"/>
      <c r="M28" s="523"/>
      <c r="N28" s="516"/>
      <c r="O28" s="288"/>
      <c r="P28" s="289"/>
      <c r="Q28" s="288"/>
      <c r="R28" s="289"/>
      <c r="S28" s="288"/>
      <c r="T28" s="287"/>
    </row>
    <row r="29" spans="1:20" ht="15.75" thickBot="1" x14ac:dyDescent="0.25">
      <c r="A29" s="411" t="s">
        <v>281</v>
      </c>
      <c r="B29" s="513">
        <f>B24+B11</f>
        <v>8262339.5600000005</v>
      </c>
      <c r="C29" s="513">
        <f>C24+C11</f>
        <v>7864665.4199999999</v>
      </c>
      <c r="D29" s="514">
        <f>D24+D11</f>
        <v>7759663.2095999997</v>
      </c>
      <c r="E29" s="436">
        <f>C29-B29</f>
        <v>-397674.1400000006</v>
      </c>
      <c r="F29" s="434">
        <f>E29/B29</f>
        <v>-4.8130936414818637E-2</v>
      </c>
      <c r="G29" s="435">
        <f>D29-C29</f>
        <v>-105002.21040000021</v>
      </c>
      <c r="H29" s="434">
        <f>G29/C29</f>
        <v>-1.3351135082361866E-2</v>
      </c>
      <c r="I29" s="435">
        <f>D29-B29</f>
        <v>-502676.35040000081</v>
      </c>
      <c r="J29" s="434">
        <f>I29/B29</f>
        <v>-6.0839468863465689E-2</v>
      </c>
      <c r="K29" s="412" t="s">
        <v>280</v>
      </c>
      <c r="L29" s="528">
        <f>L27+L17+L11</f>
        <v>14891829</v>
      </c>
      <c r="M29" s="528">
        <f>M27+M17+M11</f>
        <v>13173201.199999999</v>
      </c>
      <c r="N29" s="528">
        <f>N27+N17+N11</f>
        <v>12330348.169599999</v>
      </c>
      <c r="O29" s="435">
        <f>M29-L29</f>
        <v>-1718627.8000000007</v>
      </c>
      <c r="P29" s="434">
        <f>O29/L29</f>
        <v>-0.11540743584955218</v>
      </c>
      <c r="Q29" s="435">
        <f>N29-M29</f>
        <v>-842853.03040000051</v>
      </c>
      <c r="R29" s="437">
        <f>Q29/M29</f>
        <v>-6.3982400147353749E-2</v>
      </c>
      <c r="S29" s="435">
        <f>N29-L29</f>
        <v>-2561480.8304000013</v>
      </c>
      <c r="T29" s="437">
        <f>S29/L29</f>
        <v>-0.17200579125639981</v>
      </c>
    </row>
  </sheetData>
  <mergeCells count="7">
    <mergeCell ref="E2:F2"/>
    <mergeCell ref="G2:H2"/>
    <mergeCell ref="I2:J2"/>
    <mergeCell ref="A1:T1"/>
    <mergeCell ref="O2:P2"/>
    <mergeCell ref="Q2:R2"/>
    <mergeCell ref="S2:T2"/>
  </mergeCells>
  <conditionalFormatting sqref="E4:J22 O4:S29 E23:I23 E24:J24 E25:I28 E29:J2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T4:T7 T11 T14:T15 T17 T24 T27 T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4F7D-763F-457D-841F-8D412D8A835D}">
  <dimension ref="A2:G24"/>
  <sheetViews>
    <sheetView topLeftCell="A13" workbookViewId="0">
      <selection activeCell="D27" sqref="D27"/>
    </sheetView>
  </sheetViews>
  <sheetFormatPr defaultColWidth="8.875" defaultRowHeight="15" x14ac:dyDescent="0.2"/>
  <cols>
    <col min="1" max="1" width="29.45703125" bestFit="1" customWidth="1"/>
    <col min="2" max="2" width="12.5078125" bestFit="1" customWidth="1"/>
    <col min="3" max="3" width="11.43359375" customWidth="1"/>
    <col min="4" max="4" width="11.97265625" customWidth="1"/>
  </cols>
  <sheetData>
    <row r="2" spans="1:7" x14ac:dyDescent="0.2">
      <c r="B2" s="358" t="s">
        <v>327</v>
      </c>
    </row>
    <row r="3" spans="1:7" x14ac:dyDescent="0.2">
      <c r="B3" s="358" t="s">
        <v>326</v>
      </c>
    </row>
    <row r="4" spans="1:7" x14ac:dyDescent="0.2">
      <c r="B4" s="358" t="s">
        <v>325</v>
      </c>
    </row>
    <row r="5" spans="1:7" x14ac:dyDescent="0.2">
      <c r="B5" s="358" t="s">
        <v>324</v>
      </c>
    </row>
    <row r="6" spans="1:7" x14ac:dyDescent="0.2">
      <c r="B6" s="358" t="s">
        <v>323</v>
      </c>
    </row>
    <row r="7" spans="1:7" x14ac:dyDescent="0.2">
      <c r="B7" s="358" t="s">
        <v>328</v>
      </c>
      <c r="G7" s="359"/>
    </row>
    <row r="8" spans="1:7" x14ac:dyDescent="0.2">
      <c r="B8" s="358" t="s">
        <v>322</v>
      </c>
    </row>
    <row r="9" spans="1:7" x14ac:dyDescent="0.2">
      <c r="B9" s="358" t="s">
        <v>321</v>
      </c>
    </row>
    <row r="10" spans="1:7" x14ac:dyDescent="0.2">
      <c r="B10" s="358" t="s">
        <v>320</v>
      </c>
    </row>
    <row r="11" spans="1:7" x14ac:dyDescent="0.2">
      <c r="B11" s="358" t="s">
        <v>319</v>
      </c>
    </row>
    <row r="14" spans="1:7" x14ac:dyDescent="0.2">
      <c r="B14" s="418">
        <v>2025</v>
      </c>
      <c r="C14" s="418">
        <v>2028</v>
      </c>
      <c r="D14" s="418">
        <v>2030</v>
      </c>
    </row>
    <row r="15" spans="1:7" x14ac:dyDescent="0.2">
      <c r="A15" s="419" t="s">
        <v>318</v>
      </c>
      <c r="B15" s="414">
        <f>'Vertical analysis Balance Sheet'!C10/'Vertical analysis Balance Sheet'!G10</f>
        <v>0.21377828540227178</v>
      </c>
      <c r="C15" s="415">
        <f>'Horizontal Analysis Balance She'!C11/'Horizontal Analysis Balance She'!M11</f>
        <v>0.74235113774771111</v>
      </c>
      <c r="D15" s="415">
        <f>'Horizontal Analysis Balance She'!D11/'Horizontal Analysis Balance She'!N11</f>
        <v>0.79619504722863033</v>
      </c>
    </row>
    <row r="16" spans="1:7" x14ac:dyDescent="0.2">
      <c r="A16" s="419" t="s">
        <v>317</v>
      </c>
      <c r="B16" s="414">
        <f>('Vertical analysis Balance Sheet'!C10-'Vertical analysis Balance Sheet'!C5)/'Vertical analysis Balance Sheet'!G10</f>
        <v>0.20023601469390542</v>
      </c>
      <c r="C16" s="415">
        <f>('Horizontal Analysis Balance She'!C11-'Horizontal Analysis Balance She'!C5)/'Horizontal Analysis Balance She'!M11</f>
        <v>0.71206414493425363</v>
      </c>
      <c r="D16" s="415">
        <f>('Horizontal Analysis Balance She'!D11-'Horizontal Analysis Balance She'!D5)/'Horizontal Analysis Balance She'!N11</f>
        <v>0.76536665645362256</v>
      </c>
    </row>
    <row r="17" spans="1:4" x14ac:dyDescent="0.2">
      <c r="A17" s="419" t="s">
        <v>316</v>
      </c>
      <c r="B17" s="414">
        <f>('Vertical analysis Balance Sheet'!G10+'Vertical analysis Balance Sheet'!G17)/'Vertical analysis Balance Sheet'!G24</f>
        <v>1.1315178749999999</v>
      </c>
      <c r="C17" s="415">
        <f>('Horizontal Analysis Balance She'!M11+'Horizontal Analysis Balance She'!M17)/'Horizontal Analysis Balance She'!M24</f>
        <v>0.64665015000000003</v>
      </c>
      <c r="D17" s="414">
        <f>('Horizontal Analysis Balance She'!N11+'Horizontal Analysis Balance She'!N17)/'Horizontal Analysis Balance She'!N24</f>
        <v>0.54129352119999996</v>
      </c>
    </row>
    <row r="18" spans="1:4" x14ac:dyDescent="0.2">
      <c r="A18" s="419" t="s">
        <v>332</v>
      </c>
      <c r="B18" s="416" t="e">
        <f>'Vertical analysis'!#REF!/'Vertical analysis Balance Sheet'!C29</f>
        <v>#REF!</v>
      </c>
      <c r="C18" s="417">
        <f>'5 year projections'!E65/'Horizontal Analysis Balance She'!C29</f>
        <v>0.1527022544120282</v>
      </c>
      <c r="D18" s="417">
        <f>'5 year projections'!F65/('Horizontal Analysis Balance She'!N11+'Horizontal Analysis Balance She'!N17)</f>
        <v>0.28380414379001168</v>
      </c>
    </row>
    <row r="19" spans="1:4" x14ac:dyDescent="0.2">
      <c r="A19" s="419" t="s">
        <v>333</v>
      </c>
      <c r="B19" s="416" t="e">
        <f>'Vertical analysis'!#REF!/'Vertical analysis Balance Sheet'!G24</f>
        <v>#REF!</v>
      </c>
      <c r="C19" s="417">
        <f>'5 year projections'!E65/'Horizontal Analysis Balance She'!M24</f>
        <v>0.15011901747879008</v>
      </c>
      <c r="D19" s="417">
        <f>'5 year projections'!F65/'Horizontal Analysis Balance She'!N24</f>
        <v>0.15362134432324651</v>
      </c>
    </row>
    <row r="20" spans="1:4" x14ac:dyDescent="0.2">
      <c r="A20" s="419" t="s">
        <v>329</v>
      </c>
      <c r="B20" s="414">
        <f>'5 year projections'!D65/8000000*100</f>
        <v>14.385027098760933</v>
      </c>
      <c r="C20" s="415">
        <f>'5 year projections'!E65/8000000*100</f>
        <v>15.011901747879008</v>
      </c>
      <c r="D20" s="415">
        <f>'5 year projections'!F65/8000000*100</f>
        <v>15.36213443232465</v>
      </c>
    </row>
    <row r="21" spans="1:4" x14ac:dyDescent="0.2">
      <c r="A21" s="419" t="s">
        <v>334</v>
      </c>
      <c r="B21" s="414">
        <f>'Vertical analysis Balance Sheet'!C29/('Vertical analysis Balance Sheet'!G10+'Vertical analysis Balance Sheet'!G17)</f>
        <v>0.29731081358303774</v>
      </c>
      <c r="C21" s="415">
        <f>'Horizontal Analysis Balance She'!C29/('Horizontal Analysis Balance She'!M11+'Horizontal Analysis Balance She'!M17)</f>
        <v>1.5202705473740321</v>
      </c>
      <c r="D21" s="415">
        <f>'Horizontal Analysis Balance She'!D29/('Horizontal Analysis Balance She'!N11+'Horizontal Analysis Balance She'!N17)</f>
        <v>1.7919259389059172</v>
      </c>
    </row>
    <row r="22" spans="1:4" x14ac:dyDescent="0.2">
      <c r="A22" s="419" t="s">
        <v>335</v>
      </c>
      <c r="B22" s="416">
        <f>'Vertical analysis'!D39/'Vertical analysis'!D11</f>
        <v>0.36516703334271888</v>
      </c>
      <c r="C22" s="417">
        <f>'5 year projections'!E56/'5 year projections'!E14</f>
        <v>0.31256426972654366</v>
      </c>
      <c r="D22" s="417">
        <f>'5 year projections'!F56/'5 year projections'!F14</f>
        <v>0.30581064731081087</v>
      </c>
    </row>
    <row r="23" spans="1:4" x14ac:dyDescent="0.2">
      <c r="A23" s="419" t="s">
        <v>336</v>
      </c>
      <c r="B23" s="414" t="e">
        <f>'Vertical analysis'!#REF!/65</f>
        <v>#REF!</v>
      </c>
      <c r="C23" s="415">
        <f>'5 year projections'!E65/65</f>
        <v>18476.186766620318</v>
      </c>
      <c r="D23" s="415">
        <f>'5 year projections'!F65/65</f>
        <v>18907.242378245723</v>
      </c>
    </row>
    <row r="24" spans="1:4" x14ac:dyDescent="0.2">
      <c r="A24" s="419" t="s">
        <v>339</v>
      </c>
      <c r="B24" s="414">
        <f>'Vertical analysis'!D11/65</f>
        <v>84140.327936538466</v>
      </c>
      <c r="C24" s="414">
        <f>'5 year projections'!E14/65</f>
        <v>85823.134495269216</v>
      </c>
      <c r="D24" s="414">
        <f>'5 year projections'!F14/65</f>
        <v>88397.828530127299</v>
      </c>
    </row>
  </sheetData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3247-8BE4-9C4E-838D-61B54638010A}">
  <dimension ref="A3:AC86"/>
  <sheetViews>
    <sheetView zoomScale="62" zoomScaleNormal="59" workbookViewId="0">
      <pane xSplit="3" topLeftCell="Y1" activePane="topRight" state="frozen"/>
      <selection pane="topRight" activeCell="Y1" sqref="Y1:Y1048576"/>
    </sheetView>
  </sheetViews>
  <sheetFormatPr defaultColWidth="9.14453125" defaultRowHeight="15" x14ac:dyDescent="0.2"/>
  <cols>
    <col min="1" max="1" width="5.51171875" style="93" customWidth="1"/>
    <col min="2" max="2" width="6.58984375" style="93" customWidth="1"/>
    <col min="3" max="3" width="39.953125" style="93" customWidth="1"/>
    <col min="4" max="4" width="23.5390625" style="93" customWidth="1"/>
    <col min="5" max="5" width="15.19921875" style="93" customWidth="1"/>
    <col min="6" max="6" width="9.4140625" style="93" customWidth="1"/>
    <col min="7" max="7" width="10.76171875" style="94" customWidth="1"/>
    <col min="8" max="8" width="13.98828125" style="93" customWidth="1"/>
    <col min="9" max="9" width="9.4140625" style="93" customWidth="1"/>
    <col min="10" max="10" width="11.8359375" style="93" customWidth="1"/>
    <col min="11" max="11" width="12.5078125" style="93" customWidth="1"/>
    <col min="12" max="12" width="8.47265625" style="93" customWidth="1"/>
    <col min="13" max="13" width="11.1640625" style="93" customWidth="1"/>
    <col min="14" max="14" width="13.44921875" style="93" customWidth="1"/>
    <col min="15" max="16" width="10.4921875" style="93" customWidth="1"/>
    <col min="17" max="17" width="13.5859375" style="93" customWidth="1"/>
    <col min="18" max="18" width="7.93359375" style="93" customWidth="1"/>
    <col min="19" max="19" width="9.4140625" style="93" customWidth="1"/>
    <col min="20" max="20" width="15.87109375" style="93" customWidth="1"/>
    <col min="21" max="21" width="9.55078125" style="93" customWidth="1"/>
    <col min="22" max="22" width="14.796875" style="93" customWidth="1"/>
    <col min="23" max="23" width="15.87109375" style="93" customWidth="1"/>
    <col min="24" max="24" width="9.14453125" style="93"/>
    <col min="25" max="25" width="15.19921875" style="93" customWidth="1"/>
    <col min="26" max="16384" width="9.14453125" style="93"/>
  </cols>
  <sheetData>
    <row r="3" spans="3:29" ht="12.75" x14ac:dyDescent="0.15">
      <c r="C3" s="109"/>
      <c r="D3" s="109"/>
      <c r="E3" s="109"/>
      <c r="F3" s="208"/>
      <c r="G3" s="207"/>
      <c r="H3" s="208"/>
      <c r="I3" s="109"/>
      <c r="J3" s="109"/>
      <c r="K3" s="109"/>
      <c r="L3" s="109"/>
      <c r="M3" s="109"/>
      <c r="N3" s="109"/>
      <c r="O3" s="109"/>
      <c r="P3" s="109"/>
      <c r="Q3" s="109"/>
    </row>
    <row r="4" spans="3:29" ht="18.75" customHeight="1" x14ac:dyDescent="0.15">
      <c r="C4" s="109"/>
      <c r="D4" s="109"/>
      <c r="E4" s="109"/>
      <c r="F4" s="208"/>
      <c r="G4" s="207"/>
      <c r="H4" s="208"/>
      <c r="I4" s="109"/>
      <c r="J4" s="109"/>
      <c r="K4" s="109"/>
      <c r="L4" s="109"/>
      <c r="M4" s="109"/>
      <c r="N4" s="109"/>
      <c r="O4" s="109"/>
      <c r="P4" s="109"/>
      <c r="Q4" s="109"/>
    </row>
    <row r="5" spans="3:29" ht="15.75" thickBot="1" x14ac:dyDescent="0.25">
      <c r="E5" s="93">
        <v>1</v>
      </c>
      <c r="G5" s="206"/>
      <c r="H5" s="93">
        <f>+E5+1</f>
        <v>2</v>
      </c>
      <c r="K5" s="93">
        <f>+H5+1</f>
        <v>3</v>
      </c>
      <c r="N5" s="93">
        <f>+K5+1</f>
        <v>4</v>
      </c>
      <c r="Q5" s="93">
        <f>+N5+1</f>
        <v>5</v>
      </c>
    </row>
    <row r="6" spans="3:29" ht="20.25" x14ac:dyDescent="0.25">
      <c r="C6" s="171" t="s">
        <v>175</v>
      </c>
      <c r="D6" s="410"/>
      <c r="E6" s="172">
        <v>2024</v>
      </c>
      <c r="F6" s="173"/>
      <c r="G6" s="174"/>
      <c r="H6" s="172">
        <v>2025</v>
      </c>
      <c r="I6" s="173"/>
      <c r="J6" s="174"/>
      <c r="K6" s="172">
        <v>2026</v>
      </c>
      <c r="L6" s="173"/>
      <c r="M6" s="174"/>
      <c r="N6" s="172">
        <f>+K6+1</f>
        <v>2027</v>
      </c>
      <c r="O6" s="173"/>
      <c r="P6" s="174"/>
      <c r="Q6" s="172">
        <f>+N6+1</f>
        <v>2028</v>
      </c>
      <c r="R6" s="173"/>
      <c r="S6" s="174"/>
      <c r="T6" s="172">
        <f>+Q6+1</f>
        <v>2029</v>
      </c>
      <c r="U6" s="173"/>
      <c r="V6" s="174"/>
      <c r="W6" s="172">
        <f>+T6+1</f>
        <v>2030</v>
      </c>
      <c r="X6" s="173"/>
      <c r="Y6" s="174"/>
      <c r="Z6" s="220"/>
    </row>
    <row r="7" spans="3:29" ht="20.25" x14ac:dyDescent="0.25">
      <c r="C7" s="170" t="s">
        <v>176</v>
      </c>
      <c r="D7" s="409"/>
      <c r="E7" s="175">
        <v>30</v>
      </c>
      <c r="F7" s="176"/>
      <c r="G7" s="177"/>
      <c r="H7" s="175">
        <v>30</v>
      </c>
      <c r="I7" s="176"/>
      <c r="J7" s="177"/>
      <c r="K7" s="175">
        <v>30</v>
      </c>
      <c r="L7" s="176"/>
      <c r="M7" s="177"/>
      <c r="N7" s="175">
        <v>30</v>
      </c>
      <c r="O7" s="176"/>
      <c r="P7" s="177"/>
      <c r="Q7" s="175">
        <v>30</v>
      </c>
      <c r="R7" s="176"/>
      <c r="S7" s="177"/>
      <c r="T7" s="175">
        <v>30</v>
      </c>
      <c r="U7" s="176"/>
      <c r="V7" s="177"/>
      <c r="W7" s="175">
        <v>30</v>
      </c>
      <c r="X7" s="176"/>
      <c r="Y7" s="177"/>
      <c r="Z7" s="220"/>
    </row>
    <row r="8" spans="3:29" ht="20.25" x14ac:dyDescent="0.25">
      <c r="C8" s="168" t="s">
        <v>223</v>
      </c>
      <c r="E8" s="178">
        <f>E7*365</f>
        <v>10950</v>
      </c>
      <c r="F8" s="179"/>
      <c r="G8" s="180"/>
      <c r="H8" s="178">
        <f>+H7*H10</f>
        <v>10950</v>
      </c>
      <c r="I8" s="179"/>
      <c r="J8" s="180"/>
      <c r="K8" s="178">
        <f>+K7*K10</f>
        <v>10950</v>
      </c>
      <c r="L8" s="179"/>
      <c r="M8" s="180"/>
      <c r="N8" s="178">
        <f>+N7*N10</f>
        <v>10950</v>
      </c>
      <c r="O8" s="179"/>
      <c r="P8" s="180"/>
      <c r="Q8" s="178">
        <f>+Q7*Q10</f>
        <v>10950</v>
      </c>
      <c r="R8" s="179"/>
      <c r="S8" s="180"/>
      <c r="T8" s="178">
        <f>+T7*T10</f>
        <v>10950</v>
      </c>
      <c r="U8" s="179"/>
      <c r="V8" s="180"/>
      <c r="W8" s="178">
        <f>+W7*W10</f>
        <v>10950</v>
      </c>
      <c r="X8" s="179"/>
      <c r="Y8" s="180"/>
      <c r="Z8" s="220"/>
    </row>
    <row r="9" spans="3:29" ht="20.25" x14ac:dyDescent="0.25">
      <c r="C9" s="168" t="s">
        <v>177</v>
      </c>
      <c r="E9" s="178">
        <f>+E8*E11</f>
        <v>0</v>
      </c>
      <c r="F9" s="179"/>
      <c r="G9" s="180"/>
      <c r="H9" s="178" t="e">
        <f>+H8*H11</f>
        <v>#REF!</v>
      </c>
      <c r="I9" s="179"/>
      <c r="J9" s="180"/>
      <c r="K9" s="178">
        <f>+K8*K11</f>
        <v>7008</v>
      </c>
      <c r="L9" s="179"/>
      <c r="M9" s="180"/>
      <c r="N9" s="178">
        <f>+N8*N11</f>
        <v>7227</v>
      </c>
      <c r="O9" s="179"/>
      <c r="P9" s="180"/>
      <c r="Q9" s="178" t="e">
        <f>'[1]P&amp;L horizontal analysis'!E6</f>
        <v>#REF!</v>
      </c>
      <c r="R9" s="179"/>
      <c r="S9" s="180"/>
      <c r="T9" s="178" t="e">
        <f>'[1]P&amp;L horizontal analysis'!E6</f>
        <v>#REF!</v>
      </c>
      <c r="U9" s="179"/>
      <c r="V9" s="180"/>
      <c r="W9" s="178" t="e">
        <f>'[1]P&amp;L horizontal analysis'!F6</f>
        <v>#REF!</v>
      </c>
      <c r="X9" s="179"/>
      <c r="Y9" s="180"/>
      <c r="Z9" s="220"/>
    </row>
    <row r="10" spans="3:29" ht="20.25" x14ac:dyDescent="0.25">
      <c r="C10" s="168" t="s">
        <v>178</v>
      </c>
      <c r="E10" s="408">
        <v>0</v>
      </c>
      <c r="G10" s="181"/>
      <c r="H10" s="408">
        <v>365</v>
      </c>
      <c r="J10" s="181"/>
      <c r="K10" s="408">
        <v>365</v>
      </c>
      <c r="M10" s="181"/>
      <c r="N10" s="408">
        <v>365</v>
      </c>
      <c r="P10" s="181"/>
      <c r="Q10" s="408">
        <v>365</v>
      </c>
      <c r="S10" s="181"/>
      <c r="T10" s="408">
        <v>365</v>
      </c>
      <c r="V10" s="181"/>
      <c r="W10" s="408">
        <v>365</v>
      </c>
      <c r="Y10" s="181"/>
      <c r="Z10" s="220"/>
    </row>
    <row r="11" spans="3:29" ht="20.25" x14ac:dyDescent="0.25">
      <c r="C11" s="168" t="s">
        <v>179</v>
      </c>
      <c r="E11" s="182">
        <v>0</v>
      </c>
      <c r="F11" s="183"/>
      <c r="G11" s="181"/>
      <c r="H11" s="182" t="e">
        <f>'[1]P&amp;L horizontal analysis'!$D$7</f>
        <v>#REF!</v>
      </c>
      <c r="I11" s="183"/>
      <c r="J11" s="181"/>
      <c r="K11" s="182">
        <v>0.64</v>
      </c>
      <c r="L11" s="183"/>
      <c r="M11" s="181"/>
      <c r="N11" s="182">
        <v>0.66</v>
      </c>
      <c r="O11" s="183"/>
      <c r="P11" s="181"/>
      <c r="Q11" s="182" t="e">
        <f>'[1]P&amp;L horizontal analysis'!E7</f>
        <v>#REF!</v>
      </c>
      <c r="R11" s="183"/>
      <c r="S11" s="181"/>
      <c r="T11" s="182" t="e">
        <f>'[1]P&amp;L horizontal analysis'!E7</f>
        <v>#REF!</v>
      </c>
      <c r="U11" s="183"/>
      <c r="V11" s="181"/>
      <c r="W11" s="182" t="e">
        <f>'[1]P&amp;L horizontal analysis'!F7</f>
        <v>#REF!</v>
      </c>
      <c r="X11" s="183"/>
      <c r="Y11" s="181"/>
      <c r="Z11" s="220"/>
    </row>
    <row r="12" spans="3:29" ht="20.25" x14ac:dyDescent="0.25">
      <c r="C12" s="168" t="s">
        <v>136</v>
      </c>
      <c r="E12" s="138">
        <v>0</v>
      </c>
      <c r="F12" s="106"/>
      <c r="G12" s="181"/>
      <c r="H12" s="407" t="e">
        <f>'[1]P&amp;L horizontal analysis'!$D$8</f>
        <v>#REF!</v>
      </c>
      <c r="I12" s="106"/>
      <c r="J12" s="181"/>
      <c r="K12" s="407">
        <v>570.78</v>
      </c>
      <c r="L12" s="106"/>
      <c r="M12" s="181"/>
      <c r="N12" s="407">
        <v>600.07000000000005</v>
      </c>
      <c r="O12" s="106"/>
      <c r="P12" s="181"/>
      <c r="Q12" s="407" t="e">
        <f>'[1]P&amp;L horizontal analysis'!E8</f>
        <v>#REF!</v>
      </c>
      <c r="R12" s="106"/>
      <c r="S12" s="181"/>
      <c r="T12" s="407">
        <v>530.86</v>
      </c>
      <c r="U12" s="106"/>
      <c r="V12" s="181"/>
      <c r="W12" s="407" t="e">
        <f>'[1]P&amp;L horizontal analysis'!F8</f>
        <v>#REF!</v>
      </c>
      <c r="X12" s="106"/>
      <c r="Y12" s="181"/>
      <c r="Z12" s="220"/>
    </row>
    <row r="13" spans="3:29" ht="20.25" x14ac:dyDescent="0.25">
      <c r="C13" s="167" t="s">
        <v>180</v>
      </c>
      <c r="D13" s="406"/>
      <c r="E13" s="405">
        <v>0</v>
      </c>
      <c r="F13" s="403"/>
      <c r="G13" s="184"/>
      <c r="H13" s="404" t="e">
        <f>+H16/H8</f>
        <v>#REF!</v>
      </c>
      <c r="I13" s="403"/>
      <c r="J13" s="184"/>
      <c r="K13" s="404">
        <f>+K16/K8</f>
        <v>365.29919999999998</v>
      </c>
      <c r="L13" s="403"/>
      <c r="M13" s="184"/>
      <c r="N13" s="404">
        <f>+N16/N8</f>
        <v>396.04620000000006</v>
      </c>
      <c r="O13" s="403"/>
      <c r="P13" s="184"/>
      <c r="Q13" s="404" t="e">
        <f>+Q16/Q8</f>
        <v>#REF!</v>
      </c>
      <c r="R13" s="403"/>
      <c r="S13" s="184"/>
      <c r="T13" s="404" t="e">
        <f>+T16/T8</f>
        <v>#REF!</v>
      </c>
      <c r="U13" s="403"/>
      <c r="V13" s="184"/>
      <c r="W13" s="404" t="e">
        <f>W16/W8</f>
        <v>#REF!</v>
      </c>
      <c r="X13" s="403"/>
      <c r="Y13" s="184"/>
      <c r="Z13" s="220"/>
      <c r="AC13" s="169"/>
    </row>
    <row r="14" spans="3:29" x14ac:dyDescent="0.2">
      <c r="E14" s="402"/>
      <c r="F14" s="401"/>
      <c r="G14" s="181"/>
      <c r="H14" s="402"/>
      <c r="I14" s="401"/>
      <c r="J14" s="181"/>
      <c r="K14" s="402"/>
      <c r="L14" s="401"/>
      <c r="M14" s="181"/>
      <c r="N14" s="402"/>
      <c r="O14" s="401"/>
      <c r="P14" s="181"/>
      <c r="Q14" s="402"/>
      <c r="R14" s="401"/>
      <c r="S14" s="181"/>
      <c r="T14" s="402"/>
      <c r="U14" s="401"/>
      <c r="V14" s="181"/>
      <c r="W14" s="402"/>
      <c r="X14" s="401"/>
      <c r="Y14" s="181"/>
    </row>
    <row r="15" spans="3:29" x14ac:dyDescent="0.2">
      <c r="C15" s="166" t="s">
        <v>181</v>
      </c>
      <c r="D15" s="205"/>
      <c r="E15" s="400"/>
      <c r="F15" s="399"/>
      <c r="G15" s="165"/>
      <c r="H15" s="400"/>
      <c r="I15" s="399"/>
      <c r="J15" s="165"/>
      <c r="K15" s="400"/>
      <c r="L15" s="399"/>
      <c r="M15" s="165"/>
      <c r="N15" s="400"/>
      <c r="O15" s="399"/>
      <c r="P15" s="165"/>
      <c r="Q15" s="400"/>
      <c r="R15" s="399"/>
      <c r="S15" s="165"/>
      <c r="T15" s="400"/>
      <c r="U15" s="399"/>
      <c r="V15" s="165"/>
      <c r="W15" s="400"/>
      <c r="X15" s="399"/>
      <c r="Y15" s="165"/>
    </row>
    <row r="16" spans="3:29" x14ac:dyDescent="0.2">
      <c r="C16" s="164" t="s">
        <v>182</v>
      </c>
      <c r="D16" s="398"/>
      <c r="E16" s="397">
        <v>0</v>
      </c>
      <c r="F16" s="396">
        <v>0</v>
      </c>
      <c r="G16" s="163">
        <v>0</v>
      </c>
      <c r="H16" s="395" t="e">
        <f>+H12*H9</f>
        <v>#REF!</v>
      </c>
      <c r="I16" s="394"/>
      <c r="J16" s="353" t="e">
        <f>+H16/H$21</f>
        <v>#REF!</v>
      </c>
      <c r="K16" s="395">
        <f>+K12*K9</f>
        <v>4000026.2399999998</v>
      </c>
      <c r="L16" s="394"/>
      <c r="M16" s="353">
        <f t="shared" ref="M16:M21" si="0">+K16/K$21</f>
        <v>0.43898317834519313</v>
      </c>
      <c r="N16" s="395">
        <f>+N12*N9</f>
        <v>4336705.8900000006</v>
      </c>
      <c r="O16" s="394"/>
      <c r="P16" s="353">
        <f t="shared" ref="P16:P21" si="1">+N16/N$21</f>
        <v>0.45460301723052121</v>
      </c>
      <c r="Q16" s="395" t="e">
        <f>'[1]P&amp;L horizontal analysis'!E17</f>
        <v>#REF!</v>
      </c>
      <c r="R16" s="394"/>
      <c r="S16" s="353" t="e">
        <f t="shared" ref="S16:S21" si="2">+Q16/Q$21</f>
        <v>#REF!</v>
      </c>
      <c r="T16" s="395" t="e">
        <f>+T12*T9</f>
        <v>#REF!</v>
      </c>
      <c r="U16" s="394"/>
      <c r="V16" s="353" t="e">
        <f t="shared" ref="V16:V21" si="3">+T16/T$21</f>
        <v>#REF!</v>
      </c>
      <c r="W16" s="395" t="e">
        <f>'[1]P&amp;L horizontal analysis'!F17</f>
        <v>#REF!</v>
      </c>
      <c r="X16" s="394"/>
      <c r="Y16" s="353" t="e">
        <f t="shared" ref="Y16:Y21" si="4">+W16/W$21</f>
        <v>#REF!</v>
      </c>
      <c r="Z16" s="94"/>
      <c r="AA16" s="94"/>
      <c r="AB16" s="94"/>
    </row>
    <row r="17" spans="3:25" x14ac:dyDescent="0.2">
      <c r="C17" s="162" t="s">
        <v>183</v>
      </c>
      <c r="D17" s="392"/>
      <c r="E17" s="393">
        <v>0</v>
      </c>
      <c r="F17" s="391">
        <v>0</v>
      </c>
      <c r="G17" s="160">
        <v>0</v>
      </c>
      <c r="H17" s="393" t="e">
        <f>'[1]P&amp;L'!D29</f>
        <v>#REF!</v>
      </c>
      <c r="I17" s="391" t="e">
        <f>H17/$H$16</f>
        <v>#REF!</v>
      </c>
      <c r="J17" s="160" t="e">
        <f>+H17/H$21</f>
        <v>#REF!</v>
      </c>
      <c r="K17" s="393">
        <f>1400000</f>
        <v>1400000</v>
      </c>
      <c r="L17" s="391">
        <f>K17/$K$16</f>
        <v>0.34999770401506169</v>
      </c>
      <c r="M17" s="160">
        <f t="shared" si="0"/>
        <v>0.15364310452205193</v>
      </c>
      <c r="N17" s="393">
        <f>1423000</f>
        <v>1423000</v>
      </c>
      <c r="O17" s="391">
        <f>N17/$N$16</f>
        <v>0.32812923820388468</v>
      </c>
      <c r="P17" s="353">
        <f t="shared" si="1"/>
        <v>0.1491685417290384</v>
      </c>
      <c r="Q17" s="393" t="e">
        <f>'[1]P&amp;L horizontal analysis'!E29</f>
        <v>#REF!</v>
      </c>
      <c r="R17" s="391" t="e">
        <f>Q17/Q$16</f>
        <v>#REF!</v>
      </c>
      <c r="S17" s="353" t="e">
        <f t="shared" si="2"/>
        <v>#REF!</v>
      </c>
      <c r="T17" s="393">
        <v>1574999</v>
      </c>
      <c r="U17" s="391" t="e">
        <f>T17/$T$16</f>
        <v>#REF!</v>
      </c>
      <c r="V17" s="160" t="e">
        <f t="shared" si="3"/>
        <v>#REF!</v>
      </c>
      <c r="W17" s="393" t="e">
        <f>'[1]P&amp;L horizontal analysis'!F29</f>
        <v>#REF!</v>
      </c>
      <c r="X17" s="391" t="e">
        <f>W17/$W$16</f>
        <v>#REF!</v>
      </c>
      <c r="Y17" s="353" t="e">
        <f t="shared" si="4"/>
        <v>#REF!</v>
      </c>
    </row>
    <row r="18" spans="3:25" x14ac:dyDescent="0.2">
      <c r="C18" s="162" t="s">
        <v>184</v>
      </c>
      <c r="D18" s="392"/>
      <c r="E18" s="393">
        <v>0</v>
      </c>
      <c r="F18" s="391">
        <v>0</v>
      </c>
      <c r="G18" s="160">
        <v>0</v>
      </c>
      <c r="H18" s="393" t="e">
        <f>'[1]P&amp;L horizontal analysis'!D30</f>
        <v>#REF!</v>
      </c>
      <c r="I18" s="391" t="e">
        <f>H18/$H$16</f>
        <v>#REF!</v>
      </c>
      <c r="J18" s="160" t="e">
        <f>+H18/H$21</f>
        <v>#REF!</v>
      </c>
      <c r="K18" s="393">
        <f>856000</f>
        <v>856000</v>
      </c>
      <c r="L18" s="391">
        <f>K18/$K$16</f>
        <v>0.21399859616920913</v>
      </c>
      <c r="M18" s="160">
        <f t="shared" si="0"/>
        <v>9.3941783907768903E-2</v>
      </c>
      <c r="N18" s="393">
        <f>870876</f>
        <v>870876</v>
      </c>
      <c r="O18" s="391">
        <f>N18/$N$16</f>
        <v>0.20081509378077744</v>
      </c>
      <c r="P18" s="353">
        <f t="shared" si="1"/>
        <v>9.1291147538171497E-2</v>
      </c>
      <c r="Q18" s="393" t="e">
        <f>'[1]P&amp;L horizontal analysis'!E30</f>
        <v>#REF!</v>
      </c>
      <c r="R18" s="391" t="e">
        <f>Q18/Q$16</f>
        <v>#REF!</v>
      </c>
      <c r="S18" s="353" t="e">
        <f t="shared" si="2"/>
        <v>#REF!</v>
      </c>
      <c r="T18" s="393">
        <v>897543</v>
      </c>
      <c r="U18" s="391" t="e">
        <f>T18/$T$16</f>
        <v>#REF!</v>
      </c>
      <c r="V18" s="160" t="e">
        <f t="shared" si="3"/>
        <v>#REF!</v>
      </c>
      <c r="W18" s="393" t="e">
        <f>'[1]P&amp;L horizontal analysis'!F30</f>
        <v>#REF!</v>
      </c>
      <c r="X18" s="391" t="e">
        <f>W18/$W$16</f>
        <v>#REF!</v>
      </c>
      <c r="Y18" s="353" t="e">
        <f t="shared" si="4"/>
        <v>#REF!</v>
      </c>
    </row>
    <row r="19" spans="3:25" x14ac:dyDescent="0.2">
      <c r="C19" s="162" t="s">
        <v>185</v>
      </c>
      <c r="D19" s="392"/>
      <c r="E19" s="393">
        <v>0</v>
      </c>
      <c r="F19" s="391">
        <v>0</v>
      </c>
      <c r="G19" s="160">
        <v>0</v>
      </c>
      <c r="H19" s="393" t="e">
        <f>'[1]P&amp;L'!D32</f>
        <v>#REF!</v>
      </c>
      <c r="I19" s="391" t="e">
        <f>H19/H16</f>
        <v>#REF!</v>
      </c>
      <c r="J19" s="160" t="e">
        <f>H19/H21</f>
        <v>#REF!</v>
      </c>
      <c r="K19" s="393">
        <f>K17+K18</f>
        <v>2256000</v>
      </c>
      <c r="L19" s="391">
        <f>K19/$K$16</f>
        <v>0.56399630018427083</v>
      </c>
      <c r="M19" s="160">
        <f t="shared" si="0"/>
        <v>0.24758488842982085</v>
      </c>
      <c r="N19" s="393">
        <f>N17+N18</f>
        <v>2293876</v>
      </c>
      <c r="O19" s="391">
        <f>N19/$N$16</f>
        <v>0.52894433198466217</v>
      </c>
      <c r="P19" s="353">
        <f t="shared" si="1"/>
        <v>0.24045968926720987</v>
      </c>
      <c r="Q19" s="393" t="e">
        <f>Q17+Q18</f>
        <v>#REF!</v>
      </c>
      <c r="R19" s="391" t="e">
        <f>Q19/Q$16</f>
        <v>#REF!</v>
      </c>
      <c r="S19" s="353" t="e">
        <f t="shared" si="2"/>
        <v>#REF!</v>
      </c>
      <c r="T19" s="393">
        <f>T17+T18</f>
        <v>2472542</v>
      </c>
      <c r="U19" s="391" t="e">
        <f>T19/$T$16</f>
        <v>#REF!</v>
      </c>
      <c r="V19" s="160" t="e">
        <f t="shared" si="3"/>
        <v>#REF!</v>
      </c>
      <c r="W19" s="393" t="e">
        <f>W17+W18</f>
        <v>#REF!</v>
      </c>
      <c r="X19" s="391" t="e">
        <f>W19/$W$16</f>
        <v>#REF!</v>
      </c>
      <c r="Y19" s="353" t="e">
        <f t="shared" si="4"/>
        <v>#REF!</v>
      </c>
    </row>
    <row r="20" spans="3:25" x14ac:dyDescent="0.2">
      <c r="C20" s="161" t="s">
        <v>186</v>
      </c>
      <c r="D20" s="392"/>
      <c r="E20" s="354">
        <v>0</v>
      </c>
      <c r="F20" s="391">
        <v>0</v>
      </c>
      <c r="G20" s="160">
        <v>0</v>
      </c>
      <c r="H20" s="354" t="e">
        <f>'[1]P&amp;L horizontal analysis'!D43</f>
        <v>#REF!</v>
      </c>
      <c r="I20" s="391" t="e">
        <f>H20/$H$16</f>
        <v>#REF!</v>
      </c>
      <c r="J20" s="160" t="e">
        <f>+H20/H$21</f>
        <v>#REF!</v>
      </c>
      <c r="K20" s="354">
        <f>600000</f>
        <v>600000</v>
      </c>
      <c r="L20" s="391">
        <f>K20/$K$16</f>
        <v>0.14999901600645502</v>
      </c>
      <c r="M20" s="160">
        <f t="shared" si="0"/>
        <v>6.5847044795165122E-2</v>
      </c>
      <c r="N20" s="354">
        <f>615087</f>
        <v>615087</v>
      </c>
      <c r="O20" s="391">
        <f>N20/$N$16</f>
        <v>0.1418327679122367</v>
      </c>
      <c r="P20" s="353">
        <f t="shared" si="1"/>
        <v>6.4477604235059049E-2</v>
      </c>
      <c r="Q20" s="354" t="e">
        <f>'[1]P&amp;L horizontal analysis'!E43</f>
        <v>#REF!</v>
      </c>
      <c r="R20" s="391" t="e">
        <f>Q20/Q$16</f>
        <v>#REF!</v>
      </c>
      <c r="S20" s="353" t="e">
        <f t="shared" si="2"/>
        <v>#REF!</v>
      </c>
      <c r="T20" s="354">
        <f>623456</f>
        <v>623456</v>
      </c>
      <c r="U20" s="391" t="e">
        <f>T20/$T$16</f>
        <v>#REF!</v>
      </c>
      <c r="V20" s="160" t="e">
        <f t="shared" si="3"/>
        <v>#REF!</v>
      </c>
      <c r="W20" s="354" t="e">
        <f>'[1]P&amp;L horizontal analysis'!F43</f>
        <v>#REF!</v>
      </c>
      <c r="X20" s="391" t="e">
        <f>W20/$W$16</f>
        <v>#REF!</v>
      </c>
      <c r="Y20" s="353" t="e">
        <f t="shared" si="4"/>
        <v>#REF!</v>
      </c>
    </row>
    <row r="21" spans="3:25" ht="12.75" x14ac:dyDescent="0.15">
      <c r="C21" s="159" t="s">
        <v>138</v>
      </c>
      <c r="D21" s="186"/>
      <c r="E21" s="185">
        <v>0</v>
      </c>
      <c r="F21" s="186"/>
      <c r="G21" s="187"/>
      <c r="H21" s="185" t="e">
        <f>H16+H19+H20</f>
        <v>#REF!</v>
      </c>
      <c r="I21" s="186"/>
      <c r="J21" s="187" t="e">
        <f>+H21/H$21</f>
        <v>#REF!</v>
      </c>
      <c r="K21" s="185">
        <f>SUM(K16:K20)</f>
        <v>9112026.2400000002</v>
      </c>
      <c r="L21" s="186"/>
      <c r="M21" s="187">
        <f t="shared" si="0"/>
        <v>1</v>
      </c>
      <c r="N21" s="185">
        <f>SUM(N16:N20)</f>
        <v>9539544.8900000006</v>
      </c>
      <c r="O21" s="186"/>
      <c r="P21" s="187">
        <f t="shared" si="1"/>
        <v>1</v>
      </c>
      <c r="Q21" s="185" t="e">
        <f>Q16+Q19+Q20</f>
        <v>#REF!</v>
      </c>
      <c r="R21" s="186"/>
      <c r="S21" s="187" t="e">
        <f t="shared" si="2"/>
        <v>#REF!</v>
      </c>
      <c r="T21" s="185" t="e">
        <f>SUM(T16:T20)</f>
        <v>#REF!</v>
      </c>
      <c r="U21" s="186"/>
      <c r="V21" s="187" t="e">
        <f t="shared" si="3"/>
        <v>#REF!</v>
      </c>
      <c r="W21" s="185" t="e">
        <f>W16+W19+W20</f>
        <v>#REF!</v>
      </c>
      <c r="X21" s="186"/>
      <c r="Y21" s="187" t="e">
        <f t="shared" si="4"/>
        <v>#REF!</v>
      </c>
    </row>
    <row r="22" spans="3:25" x14ac:dyDescent="0.2">
      <c r="D22" s="390"/>
      <c r="E22" s="138"/>
      <c r="G22" s="181"/>
      <c r="H22" s="138"/>
      <c r="J22" s="181"/>
      <c r="K22" s="138"/>
      <c r="M22" s="181"/>
      <c r="N22" s="138"/>
      <c r="P22" s="181"/>
      <c r="Q22" s="138"/>
      <c r="S22" s="181"/>
      <c r="T22" s="138"/>
      <c r="V22" s="181"/>
      <c r="W22" s="138"/>
      <c r="Y22" s="181"/>
    </row>
    <row r="23" spans="3:25" x14ac:dyDescent="0.2">
      <c r="C23" s="158" t="s">
        <v>187</v>
      </c>
      <c r="D23" s="204"/>
      <c r="E23" s="389"/>
      <c r="F23" s="388"/>
      <c r="G23" s="157"/>
      <c r="H23" s="389"/>
      <c r="I23" s="388"/>
      <c r="J23" s="157"/>
      <c r="K23" s="389"/>
      <c r="L23" s="388"/>
      <c r="M23" s="157"/>
      <c r="N23" s="389"/>
      <c r="O23" s="388"/>
      <c r="P23" s="157"/>
      <c r="Q23" s="389"/>
      <c r="R23" s="388"/>
      <c r="S23" s="157"/>
      <c r="T23" s="389"/>
      <c r="U23" s="388"/>
      <c r="V23" s="157"/>
      <c r="W23" s="389"/>
      <c r="X23" s="388"/>
      <c r="Y23" s="157"/>
    </row>
    <row r="24" spans="3:25" x14ac:dyDescent="0.2">
      <c r="C24" s="156" t="s">
        <v>188</v>
      </c>
      <c r="D24" s="387"/>
      <c r="E24" s="386">
        <v>0</v>
      </c>
      <c r="F24" s="154">
        <v>0</v>
      </c>
      <c r="G24" s="155">
        <v>0</v>
      </c>
      <c r="H24" s="386" t="e">
        <f>'[1]Rooms Division Income Statement'!N37</f>
        <v>#REF!</v>
      </c>
      <c r="I24" s="154" t="e">
        <f>H24/H16</f>
        <v>#REF!</v>
      </c>
      <c r="J24" s="155" t="e">
        <f>+H24/H$21</f>
        <v>#REF!</v>
      </c>
      <c r="K24" s="386">
        <f>2000000</f>
        <v>2000000</v>
      </c>
      <c r="L24" s="154">
        <f>K24/K16</f>
        <v>0.49999672002151668</v>
      </c>
      <c r="M24" s="155">
        <f>+K24/K$21</f>
        <v>0.21949014931721705</v>
      </c>
      <c r="N24" s="386">
        <v>2134569</v>
      </c>
      <c r="O24" s="154">
        <f>N24/N16</f>
        <v>0.49220976799973853</v>
      </c>
      <c r="P24" s="155">
        <f>+N24/N$21</f>
        <v>0.22376004564301599</v>
      </c>
      <c r="Q24" s="386" t="e">
        <f>'[1]P&amp;L horizontal analysis'!E25</f>
        <v>#REF!</v>
      </c>
      <c r="R24" s="154" t="e">
        <f>Q24/Q16</f>
        <v>#REF!</v>
      </c>
      <c r="S24" s="155" t="e">
        <f>+Q24/Q$21</f>
        <v>#REF!</v>
      </c>
      <c r="T24" s="386">
        <v>2290725.94</v>
      </c>
      <c r="U24" s="154" t="e">
        <f>T24/T16</f>
        <v>#REF!</v>
      </c>
      <c r="V24" s="155" t="e">
        <f>+T24/T$21</f>
        <v>#REF!</v>
      </c>
      <c r="W24" s="386" t="e">
        <f>'[1]P&amp;L horizontal analysis'!F25</f>
        <v>#REF!</v>
      </c>
      <c r="X24" s="154" t="e">
        <f>W24/W16</f>
        <v>#REF!</v>
      </c>
      <c r="Y24" s="155" t="e">
        <f>+W24/W$21</f>
        <v>#REF!</v>
      </c>
    </row>
    <row r="25" spans="3:25" x14ac:dyDescent="0.2">
      <c r="C25" s="153" t="s">
        <v>189</v>
      </c>
      <c r="D25" s="385"/>
      <c r="E25" s="384">
        <v>0</v>
      </c>
      <c r="F25" s="188">
        <v>0</v>
      </c>
      <c r="G25" s="152">
        <v>0</v>
      </c>
      <c r="H25" s="384" t="e">
        <f>'[1]P&amp;L'!D39</f>
        <v>#REF!</v>
      </c>
      <c r="I25" s="188" t="e">
        <f>H25/H19</f>
        <v>#REF!</v>
      </c>
      <c r="J25" s="152" t="e">
        <f>+H25/H$21</f>
        <v>#REF!</v>
      </c>
      <c r="K25" s="384">
        <v>1622330</v>
      </c>
      <c r="L25" s="188">
        <f>K25/K19</f>
        <v>0.71911790780141849</v>
      </c>
      <c r="M25" s="152">
        <f>+K25/K$21</f>
        <v>0.17804272697090037</v>
      </c>
      <c r="N25" s="384">
        <f>1711111</f>
        <v>1711111</v>
      </c>
      <c r="O25" s="188">
        <f>N25/N19</f>
        <v>0.74594747056946409</v>
      </c>
      <c r="P25" s="152">
        <f>+N25/N$21</f>
        <v>0.17937029698279452</v>
      </c>
      <c r="Q25" s="384" t="e">
        <f>'[1]P&amp;L horizontal analysis'!E39</f>
        <v>#REF!</v>
      </c>
      <c r="R25" s="188" t="e">
        <f>Q25/Q19</f>
        <v>#REF!</v>
      </c>
      <c r="S25" s="152" t="e">
        <f>+Q25/Q$21</f>
        <v>#REF!</v>
      </c>
      <c r="T25" s="384">
        <v>1664137</v>
      </c>
      <c r="U25" s="188">
        <f>T25/T19</f>
        <v>0.67304700991934618</v>
      </c>
      <c r="V25" s="152" t="e">
        <f>+T25/T$21</f>
        <v>#REF!</v>
      </c>
      <c r="W25" s="384" t="e">
        <f>'[1]P&amp;L horizontal analysis'!F39</f>
        <v>#REF!</v>
      </c>
      <c r="X25" s="188" t="e">
        <f>W25/W19</f>
        <v>#REF!</v>
      </c>
      <c r="Y25" s="152" t="e">
        <f>+W25/W$21</f>
        <v>#REF!</v>
      </c>
    </row>
    <row r="26" spans="3:25" x14ac:dyDescent="0.2">
      <c r="C26" s="153" t="s">
        <v>190</v>
      </c>
      <c r="D26" s="385"/>
      <c r="E26" s="384">
        <v>0</v>
      </c>
      <c r="F26" s="188">
        <v>0</v>
      </c>
      <c r="G26" s="152">
        <v>0</v>
      </c>
      <c r="H26" s="384" t="e">
        <f>[1]Wellness!N26</f>
        <v>#REF!</v>
      </c>
      <c r="I26" s="188" t="e">
        <f>H26/H20</f>
        <v>#REF!</v>
      </c>
      <c r="J26" s="152" t="e">
        <f>+H26/H$21</f>
        <v>#REF!</v>
      </c>
      <c r="K26" s="384">
        <v>402848</v>
      </c>
      <c r="L26" s="188">
        <f>K26/K20</f>
        <v>0.67141333333333331</v>
      </c>
      <c r="M26" s="152">
        <f>+K26/K$21</f>
        <v>4.4210583836071127E-2</v>
      </c>
      <c r="N26" s="384">
        <f>403000</f>
        <v>403000</v>
      </c>
      <c r="O26" s="188">
        <f>N26/N20</f>
        <v>0.65519186716675848</v>
      </c>
      <c r="P26" s="152">
        <f>+N26/N$21</f>
        <v>4.2245201909207636E-2</v>
      </c>
      <c r="Q26" s="384" t="e">
        <f>'[1]P&amp;L horizontal analysis'!E50</f>
        <v>#REF!</v>
      </c>
      <c r="R26" s="188" t="e">
        <f>Q26/Q20</f>
        <v>#REF!</v>
      </c>
      <c r="S26" s="152" t="e">
        <f>+Q26/Q$21</f>
        <v>#REF!</v>
      </c>
      <c r="T26" s="384">
        <f>402700</f>
        <v>402700</v>
      </c>
      <c r="U26" s="188">
        <f>T26/T20</f>
        <v>0.64591567007134421</v>
      </c>
      <c r="V26" s="152" t="e">
        <f>+T26/T$21</f>
        <v>#REF!</v>
      </c>
      <c r="W26" s="384" t="e">
        <f>'[1]P&amp;L horizontal analysis'!F50</f>
        <v>#REF!</v>
      </c>
      <c r="X26" s="188" t="e">
        <f>W26/W20</f>
        <v>#REF!</v>
      </c>
      <c r="Y26" s="152" t="e">
        <f>+W26/W$21</f>
        <v>#REF!</v>
      </c>
    </row>
    <row r="27" spans="3:25" x14ac:dyDescent="0.2">
      <c r="C27" s="151" t="s">
        <v>191</v>
      </c>
      <c r="D27" s="382"/>
      <c r="E27" s="383">
        <v>0</v>
      </c>
      <c r="F27" s="382"/>
      <c r="G27" s="150"/>
      <c r="H27" s="383" t="e">
        <f>SUM(H24:H26)</f>
        <v>#REF!</v>
      </c>
      <c r="I27" s="382"/>
      <c r="J27" s="150" t="e">
        <f>+H27/H$21</f>
        <v>#REF!</v>
      </c>
      <c r="K27" s="383">
        <f>SUM(K24:K26)</f>
        <v>4025178</v>
      </c>
      <c r="L27" s="382"/>
      <c r="M27" s="150">
        <f>+K27/K$21</f>
        <v>0.44174346012418858</v>
      </c>
      <c r="N27" s="383">
        <f>SUM(N24:N26)</f>
        <v>4248680</v>
      </c>
      <c r="O27" s="382"/>
      <c r="P27" s="150">
        <f>+N27/N$21</f>
        <v>0.44537554453501815</v>
      </c>
      <c r="Q27" s="383" t="e">
        <f>SUM(Q24:Q26)</f>
        <v>#REF!</v>
      </c>
      <c r="R27" s="382"/>
      <c r="S27" s="150" t="e">
        <f>+Q27/Q$21</f>
        <v>#REF!</v>
      </c>
      <c r="T27" s="383">
        <f>SUM(T24:T26)</f>
        <v>4357562.9399999995</v>
      </c>
      <c r="U27" s="382"/>
      <c r="V27" s="150" t="e">
        <f>+T27/T$21</f>
        <v>#REF!</v>
      </c>
      <c r="W27" s="383" t="e">
        <f>SUM(W24:W26)</f>
        <v>#REF!</v>
      </c>
      <c r="X27" s="382"/>
      <c r="Y27" s="150" t="e">
        <f>+W27/W$21</f>
        <v>#REF!</v>
      </c>
    </row>
    <row r="28" spans="3:25" x14ac:dyDescent="0.2">
      <c r="C28" s="139"/>
      <c r="D28" s="139"/>
      <c r="E28" s="378"/>
      <c r="F28" s="139"/>
      <c r="G28" s="189"/>
      <c r="H28" s="378"/>
      <c r="I28" s="139"/>
      <c r="J28" s="189"/>
      <c r="K28" s="378"/>
      <c r="L28" s="139"/>
      <c r="M28" s="189"/>
      <c r="N28" s="378"/>
      <c r="O28" s="139"/>
      <c r="P28" s="189"/>
      <c r="Q28" s="378"/>
      <c r="R28" s="139"/>
      <c r="S28" s="189"/>
      <c r="T28" s="378"/>
      <c r="U28" s="139"/>
      <c r="V28" s="189"/>
      <c r="W28" s="378"/>
      <c r="X28" s="139"/>
      <c r="Y28" s="189"/>
    </row>
    <row r="29" spans="3:25" ht="12.75" x14ac:dyDescent="0.15">
      <c r="C29" s="149" t="s">
        <v>192</v>
      </c>
      <c r="D29" s="191"/>
      <c r="E29" s="190">
        <f>E21-E27</f>
        <v>0</v>
      </c>
      <c r="F29" s="191"/>
      <c r="G29" s="192"/>
      <c r="H29" s="190" t="e">
        <f>H21-H27</f>
        <v>#REF!</v>
      </c>
      <c r="I29" s="191"/>
      <c r="J29" s="192" t="e">
        <f>+H29/H$21</f>
        <v>#REF!</v>
      </c>
      <c r="K29" s="190">
        <f>K21-K27</f>
        <v>5086848.24</v>
      </c>
      <c r="L29" s="191"/>
      <c r="M29" s="192">
        <f>+K29/K$21</f>
        <v>0.55825653987581147</v>
      </c>
      <c r="N29" s="190">
        <f>N21-N27</f>
        <v>5290864.8900000006</v>
      </c>
      <c r="O29" s="191"/>
      <c r="P29" s="192">
        <f>+N29/N$21</f>
        <v>0.55462445546498185</v>
      </c>
      <c r="Q29" s="190" t="e">
        <f>Q21-Q27</f>
        <v>#REF!</v>
      </c>
      <c r="R29" s="191"/>
      <c r="S29" s="192" t="e">
        <f>+Q29/Q$21</f>
        <v>#REF!</v>
      </c>
      <c r="T29" s="190" t="e">
        <f>T21-T27</f>
        <v>#REF!</v>
      </c>
      <c r="U29" s="191"/>
      <c r="V29" s="192" t="e">
        <f>+T29/T$21</f>
        <v>#REF!</v>
      </c>
      <c r="W29" s="190" t="e">
        <f>W21-W27</f>
        <v>#REF!</v>
      </c>
      <c r="X29" s="191"/>
      <c r="Y29" s="192" t="e">
        <f>+W29/W$21</f>
        <v>#REF!</v>
      </c>
    </row>
    <row r="30" spans="3:25" ht="12.75" x14ac:dyDescent="0.15">
      <c r="C30" s="148"/>
      <c r="D30" s="203"/>
      <c r="E30" s="193"/>
      <c r="F30" s="194"/>
      <c r="G30" s="195" t="e">
        <f>+E30/E$21</f>
        <v>#DIV/0!</v>
      </c>
      <c r="H30" s="193"/>
      <c r="I30" s="194"/>
      <c r="J30" s="195" t="e">
        <f>+H30/H$21</f>
        <v>#REF!</v>
      </c>
      <c r="K30" s="193"/>
      <c r="L30" s="194"/>
      <c r="M30" s="195">
        <f>+K30/K$21</f>
        <v>0</v>
      </c>
      <c r="N30" s="193"/>
      <c r="O30" s="194"/>
      <c r="P30" s="195">
        <f>+N30/N$21</f>
        <v>0</v>
      </c>
      <c r="Q30" s="193"/>
      <c r="R30" s="194"/>
      <c r="S30" s="195" t="e">
        <f>+Q30/Q$21</f>
        <v>#REF!</v>
      </c>
      <c r="T30" s="193"/>
      <c r="U30" s="194"/>
      <c r="V30" s="195" t="e">
        <f>+T30/T$21</f>
        <v>#REF!</v>
      </c>
      <c r="W30" s="193"/>
      <c r="X30" s="194"/>
      <c r="Y30" s="195" t="e">
        <f>+W30/W$21</f>
        <v>#REF!</v>
      </c>
    </row>
    <row r="31" spans="3:25" ht="12.75" x14ac:dyDescent="0.15">
      <c r="C31" s="147" t="s">
        <v>193</v>
      </c>
      <c r="D31" s="202"/>
      <c r="E31" s="196"/>
      <c r="F31" s="197"/>
      <c r="G31" s="198"/>
      <c r="H31" s="196"/>
      <c r="I31" s="197"/>
      <c r="J31" s="198"/>
      <c r="K31" s="196"/>
      <c r="L31" s="197"/>
      <c r="M31" s="198"/>
      <c r="N31" s="196"/>
      <c r="O31" s="197"/>
      <c r="P31" s="198"/>
      <c r="Q31" s="196"/>
      <c r="R31" s="197"/>
      <c r="S31" s="198"/>
      <c r="T31" s="196"/>
      <c r="U31" s="197"/>
      <c r="V31" s="198"/>
      <c r="W31" s="196"/>
      <c r="X31" s="197"/>
      <c r="Y31" s="198"/>
    </row>
    <row r="32" spans="3:25" x14ac:dyDescent="0.2">
      <c r="C32" s="146" t="s">
        <v>194</v>
      </c>
      <c r="D32" s="381"/>
      <c r="E32" s="380">
        <v>0</v>
      </c>
      <c r="F32" s="144">
        <v>0</v>
      </c>
      <c r="G32" s="145">
        <v>0</v>
      </c>
      <c r="H32" s="380" t="e">
        <f>'[1]P&amp;L'!D55</f>
        <v>#REF!</v>
      </c>
      <c r="I32" s="144" t="e">
        <f t="shared" ref="I32:I37" si="5">H32/H$16</f>
        <v>#REF!</v>
      </c>
      <c r="J32" s="145" t="e">
        <f t="shared" ref="J32:J38" si="6">+H32/H$21</f>
        <v>#REF!</v>
      </c>
      <c r="K32" s="380">
        <v>600000</v>
      </c>
      <c r="L32" s="144">
        <f t="shared" ref="L32:L37" si="7">K32/K$16</f>
        <v>0.14999901600645502</v>
      </c>
      <c r="M32" s="145">
        <f t="shared" ref="M32:M38" si="8">+K32/K$21</f>
        <v>6.5847044795165122E-2</v>
      </c>
      <c r="N32" s="380">
        <v>612345</v>
      </c>
      <c r="O32" s="144">
        <f t="shared" ref="O32:O37" si="9">N32/N$16</f>
        <v>0.14120049077157962</v>
      </c>
      <c r="P32" s="145">
        <f t="shared" ref="P32:P38" si="10">+N32/N$21</f>
        <v>6.4190169139190456E-2</v>
      </c>
      <c r="Q32" s="380" t="e">
        <f>'[1]P&amp;L horizontal analysis'!E55</f>
        <v>#REF!</v>
      </c>
      <c r="R32" s="144" t="e">
        <f t="shared" ref="R32:R37" si="11">Q32/Q$16</f>
        <v>#REF!</v>
      </c>
      <c r="S32" s="145" t="e">
        <f t="shared" ref="S32:S38" si="12">+Q32/Q$21</f>
        <v>#REF!</v>
      </c>
      <c r="T32" s="380">
        <v>600000</v>
      </c>
      <c r="U32" s="144" t="e">
        <f t="shared" ref="U32:U37" si="13">T32/T$16</f>
        <v>#REF!</v>
      </c>
      <c r="V32" s="145" t="e">
        <f t="shared" ref="V32:V38" si="14">+T32/T$21</f>
        <v>#REF!</v>
      </c>
      <c r="W32" s="380" t="e">
        <f>'[1]P&amp;L horizontal analysis'!F55</f>
        <v>#REF!</v>
      </c>
      <c r="X32" s="144" t="e">
        <f t="shared" ref="X32:X37" si="15">W32/W$16</f>
        <v>#REF!</v>
      </c>
      <c r="Y32" s="145" t="e">
        <f t="shared" ref="Y32:Y38" si="16">+W32/W$21</f>
        <v>#REF!</v>
      </c>
    </row>
    <row r="33" spans="1:25" x14ac:dyDescent="0.2">
      <c r="C33" s="143" t="s">
        <v>195</v>
      </c>
      <c r="D33" s="142"/>
      <c r="E33" s="379">
        <v>0</v>
      </c>
      <c r="F33" s="144">
        <v>0</v>
      </c>
      <c r="G33" s="145">
        <v>0</v>
      </c>
      <c r="H33" s="379" t="e">
        <f>'[1]P&amp;L'!D56</f>
        <v>#REF!</v>
      </c>
      <c r="I33" s="144" t="e">
        <f t="shared" si="5"/>
        <v>#REF!</v>
      </c>
      <c r="J33" s="145" t="e">
        <f t="shared" si="6"/>
        <v>#REF!</v>
      </c>
      <c r="K33" s="379">
        <v>700000</v>
      </c>
      <c r="L33" s="144">
        <f t="shared" si="7"/>
        <v>0.17499885200753085</v>
      </c>
      <c r="M33" s="145">
        <f t="shared" si="8"/>
        <v>7.6821552261025966E-2</v>
      </c>
      <c r="N33" s="379">
        <v>745678</v>
      </c>
      <c r="O33" s="144">
        <f t="shared" si="9"/>
        <v>0.17194571615277326</v>
      </c>
      <c r="P33" s="145">
        <f t="shared" si="10"/>
        <v>7.8167041362913484E-2</v>
      </c>
      <c r="Q33" s="379" t="e">
        <f>'[1]P&amp;L horizontal analysis'!E56</f>
        <v>#REF!</v>
      </c>
      <c r="R33" s="144" t="e">
        <f t="shared" si="11"/>
        <v>#REF!</v>
      </c>
      <c r="S33" s="145" t="e">
        <f t="shared" si="12"/>
        <v>#REF!</v>
      </c>
      <c r="T33" s="379">
        <v>700000</v>
      </c>
      <c r="U33" s="144" t="e">
        <f t="shared" si="13"/>
        <v>#REF!</v>
      </c>
      <c r="V33" s="145" t="e">
        <f t="shared" si="14"/>
        <v>#REF!</v>
      </c>
      <c r="W33" s="379" t="e">
        <f>'[1]P&amp;L horizontal analysis'!F56</f>
        <v>#REF!</v>
      </c>
      <c r="X33" s="144" t="e">
        <f t="shared" si="15"/>
        <v>#REF!</v>
      </c>
      <c r="Y33" s="145" t="e">
        <f t="shared" si="16"/>
        <v>#REF!</v>
      </c>
    </row>
    <row r="34" spans="1:25" x14ac:dyDescent="0.2">
      <c r="C34" s="143" t="s">
        <v>157</v>
      </c>
      <c r="D34" s="142"/>
      <c r="E34" s="379">
        <v>0</v>
      </c>
      <c r="F34" s="144">
        <v>0</v>
      </c>
      <c r="G34" s="145">
        <v>0</v>
      </c>
      <c r="H34" s="379" t="e">
        <f>'[1]P&amp;L'!D54</f>
        <v>#REF!</v>
      </c>
      <c r="I34" s="144" t="e">
        <f t="shared" si="5"/>
        <v>#REF!</v>
      </c>
      <c r="J34" s="145" t="e">
        <f t="shared" si="6"/>
        <v>#REF!</v>
      </c>
      <c r="K34" s="379">
        <v>420788</v>
      </c>
      <c r="L34" s="144">
        <f t="shared" si="7"/>
        <v>0.10519630991220698</v>
      </c>
      <c r="M34" s="145">
        <f t="shared" si="8"/>
        <v>4.6179410475446568E-2</v>
      </c>
      <c r="N34" s="379">
        <v>423456</v>
      </c>
      <c r="O34" s="144">
        <f t="shared" si="9"/>
        <v>9.7644620304191285E-2</v>
      </c>
      <c r="P34" s="145">
        <f t="shared" si="10"/>
        <v>4.4389539006613972E-2</v>
      </c>
      <c r="Q34" s="379" t="e">
        <f>'[1]P&amp;L horizontal analysis'!E54</f>
        <v>#REF!</v>
      </c>
      <c r="R34" s="144" t="e">
        <f t="shared" si="11"/>
        <v>#REF!</v>
      </c>
      <c r="S34" s="145" t="e">
        <f t="shared" si="12"/>
        <v>#REF!</v>
      </c>
      <c r="T34" s="379">
        <v>445666</v>
      </c>
      <c r="U34" s="144" t="e">
        <f t="shared" si="13"/>
        <v>#REF!</v>
      </c>
      <c r="V34" s="145" t="e">
        <f t="shared" si="14"/>
        <v>#REF!</v>
      </c>
      <c r="W34" s="379" t="e">
        <f>'[1]P&amp;L horizontal analysis'!F54</f>
        <v>#REF!</v>
      </c>
      <c r="X34" s="144" t="e">
        <f t="shared" si="15"/>
        <v>#REF!</v>
      </c>
      <c r="Y34" s="145" t="e">
        <f t="shared" si="16"/>
        <v>#REF!</v>
      </c>
    </row>
    <row r="35" spans="1:25" x14ac:dyDescent="0.2">
      <c r="C35" s="143" t="s">
        <v>196</v>
      </c>
      <c r="D35" s="142"/>
      <c r="E35" s="379">
        <v>0</v>
      </c>
      <c r="F35" s="144">
        <v>0</v>
      </c>
      <c r="G35" s="145">
        <v>0</v>
      </c>
      <c r="H35" s="379" t="e">
        <f>'[1]P&amp;L'!D59</f>
        <v>#REF!</v>
      </c>
      <c r="I35" s="144" t="e">
        <f t="shared" si="5"/>
        <v>#REF!</v>
      </c>
      <c r="J35" s="145" t="e">
        <f t="shared" si="6"/>
        <v>#REF!</v>
      </c>
      <c r="K35" s="379">
        <v>110000</v>
      </c>
      <c r="L35" s="144">
        <f t="shared" si="7"/>
        <v>2.7499819601183417E-2</v>
      </c>
      <c r="M35" s="145">
        <f t="shared" si="8"/>
        <v>1.2071958212446939E-2</v>
      </c>
      <c r="N35" s="379">
        <v>123000</v>
      </c>
      <c r="O35" s="144">
        <f t="shared" si="9"/>
        <v>2.836254132050444E-2</v>
      </c>
      <c r="P35" s="145">
        <f t="shared" si="10"/>
        <v>1.2893696860626649E-2</v>
      </c>
      <c r="Q35" s="379" t="e">
        <f>'[1]P&amp;L horizontal analysis'!E59</f>
        <v>#REF!</v>
      </c>
      <c r="R35" s="144" t="e">
        <f t="shared" si="11"/>
        <v>#REF!</v>
      </c>
      <c r="S35" s="145" t="e">
        <f t="shared" si="12"/>
        <v>#REF!</v>
      </c>
      <c r="T35" s="379">
        <v>90000</v>
      </c>
      <c r="U35" s="144" t="e">
        <f t="shared" si="13"/>
        <v>#REF!</v>
      </c>
      <c r="V35" s="145" t="e">
        <f t="shared" si="14"/>
        <v>#REF!</v>
      </c>
      <c r="W35" s="379" t="e">
        <f>'[1]P&amp;L horizontal analysis'!F59</f>
        <v>#REF!</v>
      </c>
      <c r="X35" s="144" t="e">
        <f t="shared" si="15"/>
        <v>#REF!</v>
      </c>
      <c r="Y35" s="145" t="e">
        <f t="shared" si="16"/>
        <v>#REF!</v>
      </c>
    </row>
    <row r="36" spans="1:25" x14ac:dyDescent="0.2">
      <c r="C36" s="142" t="s">
        <v>160</v>
      </c>
      <c r="D36" s="142"/>
      <c r="E36" s="379">
        <v>0</v>
      </c>
      <c r="F36" s="144">
        <v>0</v>
      </c>
      <c r="G36" s="145">
        <v>0</v>
      </c>
      <c r="H36" s="379" t="e">
        <f>'[1]P&amp;L'!D57</f>
        <v>#REF!</v>
      </c>
      <c r="I36" s="144" t="e">
        <f t="shared" si="5"/>
        <v>#REF!</v>
      </c>
      <c r="J36" s="145" t="e">
        <f t="shared" si="6"/>
        <v>#REF!</v>
      </c>
      <c r="K36" s="379">
        <v>200000</v>
      </c>
      <c r="L36" s="144">
        <f t="shared" si="7"/>
        <v>4.999967200215167E-2</v>
      </c>
      <c r="M36" s="145">
        <f t="shared" si="8"/>
        <v>2.1949014931721706E-2</v>
      </c>
      <c r="N36" s="379">
        <v>200000</v>
      </c>
      <c r="O36" s="144">
        <f t="shared" si="9"/>
        <v>4.6117953366673889E-2</v>
      </c>
      <c r="P36" s="145">
        <f t="shared" si="10"/>
        <v>2.096536074898642E-2</v>
      </c>
      <c r="Q36" s="379" t="e">
        <f>'[1]P&amp;L horizontal analysis'!E57</f>
        <v>#REF!</v>
      </c>
      <c r="R36" s="144" t="e">
        <f t="shared" si="11"/>
        <v>#REF!</v>
      </c>
      <c r="S36" s="145" t="e">
        <f t="shared" si="12"/>
        <v>#REF!</v>
      </c>
      <c r="T36" s="379">
        <v>200000</v>
      </c>
      <c r="U36" s="144" t="e">
        <f t="shared" si="13"/>
        <v>#REF!</v>
      </c>
      <c r="V36" s="145" t="e">
        <f t="shared" si="14"/>
        <v>#REF!</v>
      </c>
      <c r="W36" s="379" t="e">
        <f>'[1]P&amp;L horizontal analysis'!F57</f>
        <v>#REF!</v>
      </c>
      <c r="X36" s="144" t="e">
        <f t="shared" si="15"/>
        <v>#REF!</v>
      </c>
      <c r="Y36" s="145" t="e">
        <f t="shared" si="16"/>
        <v>#REF!</v>
      </c>
    </row>
    <row r="37" spans="1:25" x14ac:dyDescent="0.2">
      <c r="C37" s="143" t="s">
        <v>197</v>
      </c>
      <c r="D37" s="142"/>
      <c r="E37" s="379">
        <v>0</v>
      </c>
      <c r="F37" s="144">
        <v>0</v>
      </c>
      <c r="G37" s="145">
        <v>0</v>
      </c>
      <c r="H37" s="379" t="e">
        <f>'[1]P&amp;L'!D58</f>
        <v>#REF!</v>
      </c>
      <c r="I37" s="144" t="e">
        <f t="shared" si="5"/>
        <v>#REF!</v>
      </c>
      <c r="J37" s="145" t="e">
        <f t="shared" si="6"/>
        <v>#REF!</v>
      </c>
      <c r="K37" s="379">
        <v>110000</v>
      </c>
      <c r="L37" s="144">
        <f t="shared" si="7"/>
        <v>2.7499819601183417E-2</v>
      </c>
      <c r="M37" s="145">
        <f t="shared" si="8"/>
        <v>1.2071958212446939E-2</v>
      </c>
      <c r="N37" s="379">
        <v>120000</v>
      </c>
      <c r="O37" s="144">
        <f t="shared" si="9"/>
        <v>2.7670772020004331E-2</v>
      </c>
      <c r="P37" s="145">
        <f t="shared" si="10"/>
        <v>1.2579216449391853E-2</v>
      </c>
      <c r="Q37" s="379" t="e">
        <f>'[1]P&amp;L horizontal analysis'!E58</f>
        <v>#REF!</v>
      </c>
      <c r="R37" s="144" t="e">
        <f t="shared" si="11"/>
        <v>#REF!</v>
      </c>
      <c r="S37" s="145" t="e">
        <f t="shared" si="12"/>
        <v>#REF!</v>
      </c>
      <c r="T37" s="379">
        <v>114000</v>
      </c>
      <c r="U37" s="144" t="e">
        <f t="shared" si="13"/>
        <v>#REF!</v>
      </c>
      <c r="V37" s="145" t="e">
        <f t="shared" si="14"/>
        <v>#REF!</v>
      </c>
      <c r="W37" s="379" t="e">
        <f>'[1]P&amp;L horizontal analysis'!F58</f>
        <v>#REF!</v>
      </c>
      <c r="X37" s="144" t="e">
        <f t="shared" si="15"/>
        <v>#REF!</v>
      </c>
      <c r="Y37" s="145" t="e">
        <f t="shared" si="16"/>
        <v>#REF!</v>
      </c>
    </row>
    <row r="38" spans="1:25" ht="12.75" x14ac:dyDescent="0.15">
      <c r="C38" s="141" t="s">
        <v>191</v>
      </c>
      <c r="D38" s="200"/>
      <c r="E38" s="199">
        <f>SUM(E32:E37)</f>
        <v>0</v>
      </c>
      <c r="F38" s="200"/>
      <c r="G38" s="201"/>
      <c r="H38" s="199" t="e">
        <f>SUM(H32:H37)</f>
        <v>#REF!</v>
      </c>
      <c r="I38" s="200"/>
      <c r="J38" s="201" t="e">
        <f t="shared" si="6"/>
        <v>#REF!</v>
      </c>
      <c r="K38" s="199">
        <f>SUM(K32:K37)</f>
        <v>2140788</v>
      </c>
      <c r="L38" s="200"/>
      <c r="M38" s="201">
        <f t="shared" si="8"/>
        <v>0.23494093888825324</v>
      </c>
      <c r="N38" s="199">
        <f>SUM(N32:N37)</f>
        <v>2224479</v>
      </c>
      <c r="O38" s="200"/>
      <c r="P38" s="201">
        <f t="shared" si="10"/>
        <v>0.23318502356772283</v>
      </c>
      <c r="Q38" s="199" t="e">
        <f>SUM(Q32:Q37)</f>
        <v>#REF!</v>
      </c>
      <c r="R38" s="200"/>
      <c r="S38" s="201" t="e">
        <f t="shared" si="12"/>
        <v>#REF!</v>
      </c>
      <c r="T38" s="199">
        <f>SUM(T32:T37)</f>
        <v>2149666</v>
      </c>
      <c r="U38" s="200"/>
      <c r="V38" s="201" t="e">
        <f t="shared" si="14"/>
        <v>#REF!</v>
      </c>
      <c r="W38" s="199" t="e">
        <f>SUM(W32:W37)</f>
        <v>#REF!</v>
      </c>
      <c r="X38" s="200"/>
      <c r="Y38" s="201" t="e">
        <f t="shared" si="16"/>
        <v>#REF!</v>
      </c>
    </row>
    <row r="39" spans="1:25" x14ac:dyDescent="0.2">
      <c r="C39" s="139"/>
      <c r="D39" s="139"/>
      <c r="E39" s="378"/>
      <c r="F39" s="139"/>
      <c r="G39" s="189"/>
      <c r="H39" s="378"/>
      <c r="I39" s="139"/>
      <c r="J39" s="189"/>
      <c r="K39" s="378"/>
      <c r="L39" s="139"/>
      <c r="M39" s="189"/>
      <c r="N39" s="378"/>
      <c r="O39" s="139"/>
      <c r="P39" s="189"/>
      <c r="Q39" s="378"/>
      <c r="R39" s="139"/>
      <c r="S39" s="189"/>
      <c r="T39" s="378"/>
      <c r="U39" s="139"/>
      <c r="V39" s="189"/>
      <c r="W39" s="378"/>
      <c r="X39" s="139"/>
      <c r="Y39" s="189"/>
    </row>
    <row r="40" spans="1:25" ht="12.75" x14ac:dyDescent="0.15">
      <c r="C40" s="140" t="s">
        <v>198</v>
      </c>
      <c r="D40" s="191"/>
      <c r="E40" s="190">
        <f>E29-E38</f>
        <v>0</v>
      </c>
      <c r="F40" s="191"/>
      <c r="G40" s="192"/>
      <c r="H40" s="190" t="e">
        <f>H29-H38</f>
        <v>#REF!</v>
      </c>
      <c r="I40" s="191"/>
      <c r="J40" s="192" t="e">
        <f>+H40/H$21</f>
        <v>#REF!</v>
      </c>
      <c r="K40" s="190">
        <f>K29-K38</f>
        <v>2946060.24</v>
      </c>
      <c r="L40" s="191"/>
      <c r="M40" s="192">
        <f>+K40/K$21</f>
        <v>0.32331560098755818</v>
      </c>
      <c r="N40" s="190">
        <f>N29-N38</f>
        <v>3066385.8900000006</v>
      </c>
      <c r="O40" s="191"/>
      <c r="P40" s="192">
        <f>+N40/N$21</f>
        <v>0.32143943189725904</v>
      </c>
      <c r="Q40" s="190" t="e">
        <f>Q29-Q38</f>
        <v>#REF!</v>
      </c>
      <c r="R40" s="191"/>
      <c r="S40" s="192" t="e">
        <f>+Q40/Q$21</f>
        <v>#REF!</v>
      </c>
      <c r="T40" s="190" t="e">
        <f>T29-T38</f>
        <v>#REF!</v>
      </c>
      <c r="U40" s="191"/>
      <c r="V40" s="192" t="e">
        <f>+T40/T$21</f>
        <v>#REF!</v>
      </c>
      <c r="W40" s="190" t="e">
        <f>W29-W38</f>
        <v>#REF!</v>
      </c>
      <c r="X40" s="191"/>
      <c r="Y40" s="192" t="e">
        <f>+W40/W$21</f>
        <v>#REF!</v>
      </c>
    </row>
    <row r="41" spans="1:25" s="332" customFormat="1" ht="12.75" x14ac:dyDescent="0.15">
      <c r="C41" s="333"/>
      <c r="D41" s="334"/>
      <c r="E41" s="335"/>
      <c r="F41" s="334"/>
      <c r="G41" s="336"/>
      <c r="H41" s="337"/>
      <c r="I41" s="334"/>
      <c r="J41" s="336"/>
      <c r="K41" s="335"/>
      <c r="L41" s="334"/>
      <c r="M41" s="336"/>
      <c r="N41" s="335"/>
      <c r="O41" s="334"/>
      <c r="P41" s="336"/>
      <c r="Q41" s="338"/>
      <c r="R41" s="334"/>
      <c r="S41" s="336"/>
      <c r="T41" s="335"/>
      <c r="U41" s="334"/>
      <c r="V41" s="336"/>
      <c r="W41" s="335"/>
      <c r="X41" s="334"/>
      <c r="Y41" s="336"/>
    </row>
    <row r="42" spans="1:25" ht="12.75" x14ac:dyDescent="0.15">
      <c r="C42" s="339" t="s">
        <v>312</v>
      </c>
      <c r="D42" s="340"/>
      <c r="E42" s="341"/>
      <c r="F42" s="342"/>
      <c r="G42" s="343"/>
      <c r="H42" s="341"/>
      <c r="I42" s="342"/>
      <c r="J42" s="343"/>
      <c r="K42" s="341"/>
      <c r="L42" s="342"/>
      <c r="M42" s="343"/>
      <c r="N42" s="341"/>
      <c r="O42" s="342"/>
      <c r="P42" s="343"/>
      <c r="Q42" s="341"/>
      <c r="R42" s="342"/>
      <c r="S42" s="343"/>
      <c r="T42" s="341"/>
      <c r="U42" s="342"/>
      <c r="V42" s="343"/>
      <c r="W42" s="341"/>
      <c r="X42" s="342"/>
      <c r="Y42" s="343"/>
    </row>
    <row r="43" spans="1:25" x14ac:dyDescent="0.2">
      <c r="C43" s="344" t="s">
        <v>225</v>
      </c>
      <c r="D43" s="344"/>
      <c r="E43" s="345">
        <v>0</v>
      </c>
      <c r="F43" s="377">
        <v>0</v>
      </c>
      <c r="G43" s="346">
        <v>0</v>
      </c>
      <c r="H43" s="347">
        <v>48339.9</v>
      </c>
      <c r="I43" s="375" t="e">
        <f>H43/H$16</f>
        <v>#REF!</v>
      </c>
      <c r="J43" s="346" t="e">
        <f t="shared" ref="J43:J48" si="17">+H43/H$21</f>
        <v>#REF!</v>
      </c>
      <c r="K43" s="347">
        <v>48339.9</v>
      </c>
      <c r="L43" s="375">
        <f>K43/$K$16</f>
        <v>1.2084895723084058E-2</v>
      </c>
      <c r="M43" s="346">
        <f t="shared" ref="M43:M48" si="18">+K43/K$21</f>
        <v>5.3050659344896708E-3</v>
      </c>
      <c r="N43" s="376">
        <v>48339.9</v>
      </c>
      <c r="O43" s="375">
        <f>N43/N$16</f>
        <v>1.1146686269748395E-2</v>
      </c>
      <c r="P43" s="346">
        <f t="shared" ref="P43:P48" si="19">+N43/N$21</f>
        <v>5.067317210349644E-3</v>
      </c>
      <c r="Q43" s="348">
        <v>49306.698000000004</v>
      </c>
      <c r="R43" s="375">
        <f>Q43/$K$16</f>
        <v>1.2326593637545739E-2</v>
      </c>
      <c r="S43" s="346" t="e">
        <f t="shared" ref="S43:S48" si="20">+Q43/Q$21</f>
        <v>#REF!</v>
      </c>
      <c r="T43" s="376">
        <v>49306.698000000004</v>
      </c>
      <c r="U43" s="375">
        <f>T43/$K$16</f>
        <v>1.2326593637545739E-2</v>
      </c>
      <c r="V43" s="346" t="e">
        <f t="shared" ref="V43:V48" si="21">+T43/T$21</f>
        <v>#REF!</v>
      </c>
      <c r="W43" s="349">
        <v>50785.898940000006</v>
      </c>
      <c r="X43" s="375">
        <f>W43/$K$16</f>
        <v>1.2696391446672112E-2</v>
      </c>
      <c r="Y43" s="346" t="e">
        <f t="shared" ref="Y43:Y48" si="22">+W43/W$21</f>
        <v>#REF!</v>
      </c>
    </row>
    <row r="44" spans="1:25" x14ac:dyDescent="0.2">
      <c r="C44" s="350" t="s">
        <v>162</v>
      </c>
      <c r="D44" s="350"/>
      <c r="E44" s="345">
        <v>0</v>
      </c>
      <c r="F44" s="373">
        <v>0</v>
      </c>
      <c r="G44" s="351">
        <v>0</v>
      </c>
      <c r="H44" s="347">
        <v>300</v>
      </c>
      <c r="I44" s="375" t="e">
        <f>H44/H$16</f>
        <v>#REF!</v>
      </c>
      <c r="J44" s="346" t="e">
        <f t="shared" si="17"/>
        <v>#REF!</v>
      </c>
      <c r="K44" s="347">
        <v>300</v>
      </c>
      <c r="L44" s="375">
        <f>K44/$K$16</f>
        <v>7.4999508003227501E-5</v>
      </c>
      <c r="M44" s="346">
        <f t="shared" si="18"/>
        <v>3.2923522397582559E-5</v>
      </c>
      <c r="N44" s="369">
        <v>300</v>
      </c>
      <c r="O44" s="375">
        <f>N44/N$16</f>
        <v>6.9176930050010831E-5</v>
      </c>
      <c r="P44" s="346">
        <f t="shared" si="19"/>
        <v>3.1448041123479629E-5</v>
      </c>
      <c r="Q44" s="349">
        <v>306</v>
      </c>
      <c r="R44" s="368">
        <f>Q44/$K$16</f>
        <v>7.6499498163292058E-5</v>
      </c>
      <c r="S44" s="352" t="e">
        <f t="shared" si="20"/>
        <v>#REF!</v>
      </c>
      <c r="T44" s="369">
        <v>306</v>
      </c>
      <c r="U44" s="368">
        <f>T44/$K$16</f>
        <v>7.6499498163292058E-5</v>
      </c>
      <c r="V44" s="352" t="e">
        <f t="shared" si="21"/>
        <v>#REF!</v>
      </c>
      <c r="W44" s="348">
        <v>315.18</v>
      </c>
      <c r="X44" s="368">
        <f>W44/$K$16</f>
        <v>7.8794483108190813E-5</v>
      </c>
      <c r="Y44" s="352" t="e">
        <f t="shared" si="22"/>
        <v>#REF!</v>
      </c>
    </row>
    <row r="45" spans="1:25" x14ac:dyDescent="0.2">
      <c r="C45" s="350" t="s">
        <v>226</v>
      </c>
      <c r="D45" s="350"/>
      <c r="E45" s="345">
        <v>0</v>
      </c>
      <c r="F45" s="373">
        <v>0</v>
      </c>
      <c r="G45" s="351">
        <v>0</v>
      </c>
      <c r="H45" s="347">
        <v>710</v>
      </c>
      <c r="I45" s="375" t="e">
        <f>H45/H$16</f>
        <v>#REF!</v>
      </c>
      <c r="J45" s="346" t="e">
        <f t="shared" si="17"/>
        <v>#REF!</v>
      </c>
      <c r="K45" s="347">
        <v>710</v>
      </c>
      <c r="L45" s="375">
        <f>K45/$K$16</f>
        <v>1.7749883560763842E-4</v>
      </c>
      <c r="M45" s="346">
        <f t="shared" si="18"/>
        <v>7.791900300761206E-5</v>
      </c>
      <c r="N45" s="369">
        <v>710</v>
      </c>
      <c r="O45" s="375">
        <f>N45/N$16</f>
        <v>1.6371873445169229E-4</v>
      </c>
      <c r="P45" s="346">
        <f t="shared" si="19"/>
        <v>7.4427030658901793E-5</v>
      </c>
      <c r="Q45" s="348">
        <v>724.2</v>
      </c>
      <c r="R45" s="368">
        <f>Q45/$K$16</f>
        <v>1.8104881231979122E-4</v>
      </c>
      <c r="S45" s="352" t="e">
        <f t="shared" si="20"/>
        <v>#REF!</v>
      </c>
      <c r="T45" s="369">
        <v>724.2</v>
      </c>
      <c r="U45" s="368">
        <f>T45/$K$16</f>
        <v>1.8104881231979122E-4</v>
      </c>
      <c r="V45" s="352" t="e">
        <f t="shared" si="21"/>
        <v>#REF!</v>
      </c>
      <c r="W45" s="348">
        <v>745.92600000000004</v>
      </c>
      <c r="X45" s="368">
        <f>W45/$K$16</f>
        <v>1.8648027668938494E-4</v>
      </c>
      <c r="Y45" s="352" t="e">
        <f t="shared" si="22"/>
        <v>#REF!</v>
      </c>
    </row>
    <row r="46" spans="1:25" x14ac:dyDescent="0.2">
      <c r="C46" s="350" t="s">
        <v>227</v>
      </c>
      <c r="D46" s="350"/>
      <c r="E46" s="345">
        <v>0</v>
      </c>
      <c r="F46" s="373">
        <v>0</v>
      </c>
      <c r="G46" s="351">
        <v>0</v>
      </c>
      <c r="H46" s="347">
        <v>1850</v>
      </c>
      <c r="I46" s="375" t="e">
        <f>H46/H$16</f>
        <v>#REF!</v>
      </c>
      <c r="J46" s="346" t="e">
        <f t="shared" si="17"/>
        <v>#REF!</v>
      </c>
      <c r="K46" s="347">
        <v>1850</v>
      </c>
      <c r="L46" s="375">
        <f>K46/$K$16</f>
        <v>4.6249696601990292E-4</v>
      </c>
      <c r="M46" s="346">
        <f t="shared" si="18"/>
        <v>2.0302838811842578E-4</v>
      </c>
      <c r="N46" s="369">
        <v>1850</v>
      </c>
      <c r="O46" s="375">
        <f>N46/N$16</f>
        <v>4.2659106864173345E-4</v>
      </c>
      <c r="P46" s="346">
        <f t="shared" si="19"/>
        <v>1.9392958692812439E-4</v>
      </c>
      <c r="Q46" s="348">
        <v>1887</v>
      </c>
      <c r="R46" s="368">
        <f>Q46/$K$16</f>
        <v>4.7174690534030098E-4</v>
      </c>
      <c r="S46" s="352" t="e">
        <f t="shared" si="20"/>
        <v>#REF!</v>
      </c>
      <c r="T46" s="369">
        <v>1887</v>
      </c>
      <c r="U46" s="368">
        <f>T46/$K$16</f>
        <v>4.7174690534030098E-4</v>
      </c>
      <c r="V46" s="352" t="e">
        <f t="shared" si="21"/>
        <v>#REF!</v>
      </c>
      <c r="W46" s="348">
        <v>1943.6100000000001</v>
      </c>
      <c r="X46" s="368">
        <f>W46/$K$16</f>
        <v>4.8589931250051004E-4</v>
      </c>
      <c r="Y46" s="352" t="e">
        <f t="shared" si="22"/>
        <v>#REF!</v>
      </c>
    </row>
    <row r="47" spans="1:25" ht="15.75" thickBot="1" x14ac:dyDescent="0.25">
      <c r="C47" s="350" t="s">
        <v>163</v>
      </c>
      <c r="D47" s="350"/>
      <c r="E47" s="374">
        <v>0</v>
      </c>
      <c r="F47" s="373">
        <v>0</v>
      </c>
      <c r="G47" s="351">
        <v>0</v>
      </c>
      <c r="H47" s="372">
        <v>500</v>
      </c>
      <c r="I47" s="371" t="e">
        <f>H47/H$16</f>
        <v>#REF!</v>
      </c>
      <c r="J47" s="370" t="e">
        <f t="shared" si="17"/>
        <v>#REF!</v>
      </c>
      <c r="K47" s="372">
        <v>500</v>
      </c>
      <c r="L47" s="371">
        <f>K47/$K$16</f>
        <v>1.2499918000537916E-4</v>
      </c>
      <c r="M47" s="370">
        <f t="shared" si="18"/>
        <v>5.4872537329304267E-5</v>
      </c>
      <c r="N47" s="369">
        <v>500</v>
      </c>
      <c r="O47" s="371">
        <f>N47/N$16</f>
        <v>1.1529488341668472E-4</v>
      </c>
      <c r="P47" s="370">
        <f t="shared" si="19"/>
        <v>5.2413401872466051E-5</v>
      </c>
      <c r="Q47" s="348">
        <v>510</v>
      </c>
      <c r="R47" s="368">
        <f>Q47/$K$16</f>
        <v>1.2749916360548676E-4</v>
      </c>
      <c r="S47" s="352" t="e">
        <f t="shared" si="20"/>
        <v>#REF!</v>
      </c>
      <c r="T47" s="369">
        <v>510</v>
      </c>
      <c r="U47" s="368">
        <f>T47/$K$16</f>
        <v>1.2749916360548676E-4</v>
      </c>
      <c r="V47" s="352" t="e">
        <f t="shared" si="21"/>
        <v>#REF!</v>
      </c>
      <c r="W47" s="348">
        <v>525.30000000000007</v>
      </c>
      <c r="X47" s="368">
        <f>W47/$K$16</f>
        <v>1.3132413851365139E-4</v>
      </c>
      <c r="Y47" s="352" t="e">
        <f t="shared" si="22"/>
        <v>#REF!</v>
      </c>
    </row>
    <row r="48" spans="1:25" s="363" customFormat="1" ht="13.5" thickBot="1" x14ac:dyDescent="0.2">
      <c r="A48" s="93"/>
      <c r="B48" s="93"/>
      <c r="C48" s="367" t="s">
        <v>311</v>
      </c>
      <c r="D48" s="365"/>
      <c r="E48" s="366">
        <f>SUM(E43:E47)</f>
        <v>0</v>
      </c>
      <c r="F48" s="365"/>
      <c r="G48" s="364"/>
      <c r="H48" s="366" t="e">
        <f>H40-SUM(H43:H47)</f>
        <v>#REF!</v>
      </c>
      <c r="I48" s="365"/>
      <c r="J48" s="364" t="e">
        <f t="shared" si="17"/>
        <v>#REF!</v>
      </c>
      <c r="K48" s="366">
        <f>K40-SUM(K43:K47)</f>
        <v>2894360.3400000003</v>
      </c>
      <c r="L48" s="365"/>
      <c r="M48" s="364">
        <f t="shared" si="18"/>
        <v>0.31764179160221562</v>
      </c>
      <c r="N48" s="366">
        <f>N40-SUM(N43:N47)</f>
        <v>3014685.9900000007</v>
      </c>
      <c r="O48" s="365"/>
      <c r="P48" s="364">
        <f t="shared" si="19"/>
        <v>0.3160198966263264</v>
      </c>
      <c r="Q48" s="366" t="e">
        <f>Q40-SUM(Q43:Q47)</f>
        <v>#REF!</v>
      </c>
      <c r="R48" s="365"/>
      <c r="S48" s="364" t="e">
        <f t="shared" si="20"/>
        <v>#REF!</v>
      </c>
      <c r="T48" s="366" t="e">
        <f>T40-SUM(T43:T47)</f>
        <v>#REF!</v>
      </c>
      <c r="U48" s="365"/>
      <c r="V48" s="364" t="e">
        <f t="shared" si="21"/>
        <v>#REF!</v>
      </c>
      <c r="W48" s="366" t="e">
        <f>W40-SUM(W43:W47)</f>
        <v>#REF!</v>
      </c>
      <c r="X48" s="365"/>
      <c r="Y48" s="364" t="e">
        <f t="shared" si="22"/>
        <v>#REF!</v>
      </c>
    </row>
    <row r="49" spans="3:25" x14ac:dyDescent="0.2">
      <c r="E49" s="138"/>
      <c r="G49" s="137"/>
      <c r="H49" s="106"/>
      <c r="J49" s="206"/>
      <c r="K49" s="106"/>
      <c r="M49" s="206"/>
      <c r="N49" s="106"/>
      <c r="P49" s="206"/>
      <c r="Q49" s="106"/>
      <c r="S49" s="206"/>
      <c r="T49" s="106"/>
      <c r="V49" s="206"/>
      <c r="W49" s="106"/>
      <c r="Y49" s="206"/>
    </row>
    <row r="50" spans="3:25" ht="12.75" x14ac:dyDescent="0.15">
      <c r="C50" s="133" t="s">
        <v>199</v>
      </c>
      <c r="D50" s="136"/>
      <c r="E50" s="135"/>
      <c r="F50" s="133"/>
      <c r="G50" s="134"/>
      <c r="H50" s="216"/>
      <c r="I50" s="216"/>
      <c r="J50" s="217"/>
      <c r="K50" s="216"/>
      <c r="L50" s="216"/>
      <c r="M50" s="217"/>
      <c r="N50" s="216"/>
      <c r="O50" s="216"/>
      <c r="P50" s="217"/>
      <c r="Q50" s="216"/>
      <c r="R50" s="216"/>
      <c r="S50" s="217"/>
      <c r="T50" s="216"/>
      <c r="U50" s="216"/>
      <c r="V50" s="217"/>
      <c r="W50" s="216"/>
      <c r="X50" s="216"/>
      <c r="Y50" s="217"/>
    </row>
    <row r="51" spans="3:25" x14ac:dyDescent="0.2">
      <c r="C51" s="132" t="s">
        <v>200</v>
      </c>
      <c r="D51" s="131"/>
      <c r="E51" s="361" t="e">
        <f>+$I51*E$16</f>
        <v>#REF!</v>
      </c>
      <c r="F51" s="209">
        <v>0</v>
      </c>
      <c r="G51" s="130">
        <v>0</v>
      </c>
      <c r="H51" s="361" t="e">
        <f>'[1]P&amp;L'!D69</f>
        <v>#REF!</v>
      </c>
      <c r="I51" s="362" t="e">
        <f>H51/H$16</f>
        <v>#REF!</v>
      </c>
      <c r="J51" s="130" t="e">
        <f>+H51/H$21</f>
        <v>#REF!</v>
      </c>
      <c r="K51" s="361">
        <v>150000</v>
      </c>
      <c r="L51" s="209">
        <f>K51/K$16</f>
        <v>3.7499754001613754E-2</v>
      </c>
      <c r="M51" s="130">
        <f>+K51/K$21</f>
        <v>1.646176119879128E-2</v>
      </c>
      <c r="N51" s="361">
        <v>150000</v>
      </c>
      <c r="O51" s="209">
        <f>N51/N$16</f>
        <v>3.4588465025005413E-2</v>
      </c>
      <c r="P51" s="130">
        <f>+N51/N$21</f>
        <v>1.5724020561739816E-2</v>
      </c>
      <c r="Q51" s="361">
        <v>153000</v>
      </c>
      <c r="R51" s="209" t="e">
        <f>Q51/Q$16</f>
        <v>#REF!</v>
      </c>
      <c r="S51" s="130" t="e">
        <f>+Q51/Q$21</f>
        <v>#REF!</v>
      </c>
      <c r="T51" s="361">
        <v>153000</v>
      </c>
      <c r="U51" s="209" t="e">
        <f>T51/T$16</f>
        <v>#REF!</v>
      </c>
      <c r="V51" s="130" t="e">
        <f>+T51/T$21</f>
        <v>#REF!</v>
      </c>
      <c r="W51" s="361">
        <v>157590</v>
      </c>
      <c r="X51" s="209" t="e">
        <f>W51/W$16</f>
        <v>#REF!</v>
      </c>
      <c r="Y51" s="130" t="e">
        <f>+W51/W$21</f>
        <v>#REF!</v>
      </c>
    </row>
    <row r="52" spans="3:25" x14ac:dyDescent="0.2">
      <c r="C52" s="132" t="s">
        <v>201</v>
      </c>
      <c r="D52" s="131"/>
      <c r="E52" s="361">
        <v>0</v>
      </c>
      <c r="F52" s="209">
        <v>0</v>
      </c>
      <c r="G52" s="130">
        <v>0</v>
      </c>
      <c r="H52" s="361" t="e">
        <f>'[1]P&amp;L'!D70</f>
        <v>#REF!</v>
      </c>
      <c r="I52" s="362" t="e">
        <f>H52/H$16</f>
        <v>#REF!</v>
      </c>
      <c r="J52" s="130" t="e">
        <f>+H52/H$21</f>
        <v>#REF!</v>
      </c>
      <c r="K52" s="361">
        <v>510000</v>
      </c>
      <c r="L52" s="209">
        <f>K52/K$16</f>
        <v>0.12749916360548674</v>
      </c>
      <c r="M52" s="130">
        <f>+K52/K$21</f>
        <v>5.5969988075890348E-2</v>
      </c>
      <c r="N52" s="361">
        <v>510000</v>
      </c>
      <c r="O52" s="209">
        <f>N52/N$16</f>
        <v>0.11760078108501841</v>
      </c>
      <c r="P52" s="130">
        <f>+N52/N$21</f>
        <v>5.3461669909915376E-2</v>
      </c>
      <c r="Q52" s="361">
        <v>522036</v>
      </c>
      <c r="R52" s="209" t="e">
        <f>Q52/Q$16</f>
        <v>#REF!</v>
      </c>
      <c r="S52" s="130" t="e">
        <f>+Q52/Q$21</f>
        <v>#REF!</v>
      </c>
      <c r="T52" s="361">
        <v>522036</v>
      </c>
      <c r="U52" s="209" t="e">
        <f>T52/T$16</f>
        <v>#REF!</v>
      </c>
      <c r="V52" s="130" t="e">
        <f>+T52/T$21</f>
        <v>#REF!</v>
      </c>
      <c r="W52" s="361">
        <v>546978.39</v>
      </c>
      <c r="X52" s="209" t="e">
        <f>W52/W$16</f>
        <v>#REF!</v>
      </c>
      <c r="Y52" s="130" t="e">
        <f>+W52/W$21</f>
        <v>#REF!</v>
      </c>
    </row>
    <row r="53" spans="3:25" ht="12.75" x14ac:dyDescent="0.15">
      <c r="C53" s="129" t="s">
        <v>202</v>
      </c>
      <c r="D53" s="129"/>
      <c r="E53" s="210" t="e">
        <f>SUM(E51:E52)</f>
        <v>#REF!</v>
      </c>
      <c r="F53" s="211"/>
      <c r="G53" s="212"/>
      <c r="H53" s="210" t="e">
        <f>SUM(H51:H52)</f>
        <v>#REF!</v>
      </c>
      <c r="I53" s="211"/>
      <c r="J53" s="212" t="e">
        <f>+H53/H$21</f>
        <v>#REF!</v>
      </c>
      <c r="K53" s="210">
        <f>SUM(K51:K52)</f>
        <v>660000</v>
      </c>
      <c r="L53" s="211"/>
      <c r="M53" s="212">
        <f>+K53/K$21</f>
        <v>7.2431749274681628E-2</v>
      </c>
      <c r="N53" s="210">
        <f>SUM(N51:N52)</f>
        <v>660000</v>
      </c>
      <c r="O53" s="211"/>
      <c r="P53" s="212">
        <f>+N53/N$21</f>
        <v>6.9185690471655195E-2</v>
      </c>
      <c r="Q53" s="210">
        <f>SUM(Q51:Q52)</f>
        <v>675036</v>
      </c>
      <c r="R53" s="211"/>
      <c r="S53" s="212" t="e">
        <f>+Q53/Q$21</f>
        <v>#REF!</v>
      </c>
      <c r="T53" s="210">
        <f>SUM(T51:T52)</f>
        <v>675036</v>
      </c>
      <c r="U53" s="211"/>
      <c r="V53" s="212" t="e">
        <f>+T53/T$21</f>
        <v>#REF!</v>
      </c>
      <c r="W53" s="210">
        <f>SUM(W51:W52)</f>
        <v>704568.39</v>
      </c>
      <c r="X53" s="211"/>
      <c r="Y53" s="212" t="e">
        <f>+W53/W$21</f>
        <v>#REF!</v>
      </c>
    </row>
    <row r="54" spans="3:25" ht="12.75" x14ac:dyDescent="0.15">
      <c r="C54" s="128"/>
      <c r="D54" s="128"/>
      <c r="E54" s="127"/>
      <c r="F54" s="125"/>
      <c r="G54" s="126"/>
      <c r="H54" s="218"/>
      <c r="I54" s="218"/>
      <c r="J54" s="219"/>
      <c r="K54" s="218"/>
      <c r="L54" s="218"/>
      <c r="M54" s="219"/>
      <c r="N54" s="218"/>
      <c r="O54" s="218"/>
      <c r="P54" s="219"/>
      <c r="Q54" s="218"/>
      <c r="R54" s="218"/>
      <c r="S54" s="219"/>
      <c r="T54" s="218"/>
      <c r="U54" s="218"/>
      <c r="V54" s="219"/>
      <c r="W54" s="218"/>
      <c r="X54" s="218"/>
      <c r="Y54" s="219"/>
    </row>
    <row r="55" spans="3:25" ht="13.5" thickBot="1" x14ac:dyDescent="0.2">
      <c r="C55" s="124" t="s">
        <v>203</v>
      </c>
      <c r="D55" s="123"/>
      <c r="E55" s="213" t="e">
        <f>E48-E53</f>
        <v>#REF!</v>
      </c>
      <c r="F55" s="214"/>
      <c r="G55" s="215" t="e">
        <f>+E55/E$21</f>
        <v>#REF!</v>
      </c>
      <c r="H55" s="360" t="e">
        <f>H48-H53</f>
        <v>#REF!</v>
      </c>
      <c r="I55" s="214"/>
      <c r="J55" s="215" t="e">
        <f>+H55/H$21</f>
        <v>#REF!</v>
      </c>
      <c r="K55" s="213">
        <f>K48-K53</f>
        <v>2234360.3400000003</v>
      </c>
      <c r="L55" s="214"/>
      <c r="M55" s="215">
        <f>+K55/K$21</f>
        <v>0.24521004232753399</v>
      </c>
      <c r="N55" s="213">
        <f>N48-N53</f>
        <v>2354685.9900000007</v>
      </c>
      <c r="O55" s="214"/>
      <c r="P55" s="215">
        <f>+N55/N$21</f>
        <v>0.24683420615467125</v>
      </c>
      <c r="Q55" s="213" t="e">
        <f>Q48-Q53</f>
        <v>#REF!</v>
      </c>
      <c r="R55" s="214"/>
      <c r="S55" s="215" t="e">
        <f>+Q55/Q$21</f>
        <v>#REF!</v>
      </c>
      <c r="T55" s="213" t="e">
        <f>T48-T53</f>
        <v>#REF!</v>
      </c>
      <c r="U55" s="214"/>
      <c r="V55" s="215" t="e">
        <f>+T55/T$21</f>
        <v>#REF!</v>
      </c>
      <c r="W55" s="213" t="e">
        <f>W48-W53</f>
        <v>#REF!</v>
      </c>
      <c r="X55" s="214"/>
      <c r="Y55" s="215" t="e">
        <f>+W55/W$21</f>
        <v>#REF!</v>
      </c>
    </row>
    <row r="56" spans="3:25" ht="12.75" x14ac:dyDescent="0.15">
      <c r="C56" s="122"/>
      <c r="E56" s="110"/>
      <c r="F56" s="110"/>
      <c r="G56" s="121"/>
      <c r="H56" s="110"/>
      <c r="I56" s="110"/>
      <c r="J56" s="110"/>
      <c r="K56" s="110"/>
      <c r="L56" s="110"/>
      <c r="M56" s="221"/>
      <c r="N56" s="110"/>
      <c r="O56" s="110"/>
      <c r="P56" s="110"/>
      <c r="Q56" s="110"/>
    </row>
    <row r="57" spans="3:25" x14ac:dyDescent="0.2">
      <c r="E57" s="93">
        <v>1</v>
      </c>
      <c r="H57" s="93">
        <v>2</v>
      </c>
      <c r="K57" s="93">
        <v>3</v>
      </c>
      <c r="N57" s="93">
        <v>4</v>
      </c>
      <c r="Q57" s="93">
        <v>5</v>
      </c>
    </row>
    <row r="58" spans="3:25" ht="12.75" x14ac:dyDescent="0.15">
      <c r="C58" s="96" t="s">
        <v>204</v>
      </c>
      <c r="D58" s="331" t="e">
        <f>[1]WACC!J8</f>
        <v>#REF!</v>
      </c>
      <c r="E58" s="331" t="e">
        <f>D58</f>
        <v>#REF!</v>
      </c>
      <c r="F58" s="120"/>
      <c r="G58" s="120"/>
      <c r="H58" s="331" t="e">
        <f>E58</f>
        <v>#REF!</v>
      </c>
      <c r="I58" s="120"/>
      <c r="J58" s="120"/>
      <c r="K58" s="331" t="e">
        <f>H58</f>
        <v>#REF!</v>
      </c>
      <c r="L58" s="120"/>
      <c r="M58" s="120"/>
      <c r="N58" s="331" t="e">
        <f>K58</f>
        <v>#REF!</v>
      </c>
      <c r="O58" s="120"/>
      <c r="P58" s="120"/>
      <c r="Q58" s="331" t="e">
        <f>N58</f>
        <v>#REF!</v>
      </c>
    </row>
    <row r="59" spans="3:25" x14ac:dyDescent="0.2">
      <c r="E59" s="120"/>
      <c r="H59" s="120"/>
      <c r="K59" s="120"/>
      <c r="N59" s="120"/>
      <c r="Q59" s="120"/>
      <c r="T59" s="120"/>
      <c r="U59" s="96"/>
    </row>
    <row r="60" spans="3:25" ht="13.5" thickBot="1" x14ac:dyDescent="0.2">
      <c r="C60" s="96" t="s">
        <v>205</v>
      </c>
      <c r="E60" s="106" t="e">
        <f>H55</f>
        <v>#REF!</v>
      </c>
      <c r="F60" s="106"/>
      <c r="G60" s="106"/>
      <c r="H60" s="106">
        <f>K55</f>
        <v>2234360.3400000003</v>
      </c>
      <c r="I60" s="106"/>
      <c r="J60" s="106"/>
      <c r="K60" s="106">
        <f>N55</f>
        <v>2354685.9900000007</v>
      </c>
      <c r="L60" s="106"/>
      <c r="M60" s="106"/>
      <c r="N60" s="106" t="e">
        <f>Q55</f>
        <v>#REF!</v>
      </c>
      <c r="O60" s="106"/>
      <c r="P60" s="106"/>
      <c r="Q60" s="106" t="e">
        <f>T55</f>
        <v>#REF!</v>
      </c>
      <c r="R60" s="106"/>
      <c r="S60" s="106"/>
      <c r="T60" s="110" t="e">
        <f>SUM(E60:S60)</f>
        <v>#REF!</v>
      </c>
      <c r="U60" s="96"/>
    </row>
    <row r="61" spans="3:25" ht="13.5" thickBot="1" x14ac:dyDescent="0.2">
      <c r="C61" s="119" t="s">
        <v>206</v>
      </c>
      <c r="D61" s="118">
        <v>-8000000</v>
      </c>
      <c r="E61" s="117">
        <v>-296232</v>
      </c>
      <c r="F61" s="117"/>
      <c r="G61" s="117"/>
      <c r="H61" s="117">
        <v>-133601</v>
      </c>
      <c r="I61" s="117"/>
      <c r="J61" s="117"/>
      <c r="K61" s="117">
        <v>-426663</v>
      </c>
      <c r="L61" s="117"/>
      <c r="M61" s="117"/>
      <c r="N61" s="117">
        <v>-614184</v>
      </c>
      <c r="O61" s="117"/>
      <c r="P61" s="117"/>
      <c r="Q61" s="117">
        <v>-529320</v>
      </c>
      <c r="R61" s="117"/>
      <c r="S61" s="117"/>
      <c r="T61" s="117">
        <f>SUM(D61:Q61)</f>
        <v>-10000000</v>
      </c>
      <c r="U61" s="96"/>
      <c r="V61" s="816" t="s">
        <v>207</v>
      </c>
      <c r="W61" s="817"/>
    </row>
    <row r="62" spans="3:25" ht="12.75" x14ac:dyDescent="0.15">
      <c r="C62" s="96" t="s">
        <v>208</v>
      </c>
      <c r="D62" s="110">
        <f>D61</f>
        <v>-8000000</v>
      </c>
      <c r="E62" s="110" t="e">
        <f>E60+E61</f>
        <v>#REF!</v>
      </c>
      <c r="F62" s="110"/>
      <c r="G62" s="110"/>
      <c r="H62" s="110">
        <f>H60+H61</f>
        <v>2100759.3400000003</v>
      </c>
      <c r="I62" s="110"/>
      <c r="J62" s="110"/>
      <c r="K62" s="110">
        <f>K60+K61</f>
        <v>1928022.9900000007</v>
      </c>
      <c r="L62" s="110"/>
      <c r="M62" s="110"/>
      <c r="N62" s="110" t="e">
        <f>N60+N61</f>
        <v>#REF!</v>
      </c>
      <c r="O62" s="110"/>
      <c r="P62" s="110"/>
      <c r="Q62" s="110" t="e">
        <f>Q60+Q61</f>
        <v>#REF!</v>
      </c>
      <c r="R62" s="110"/>
      <c r="S62" s="110"/>
      <c r="T62" s="110" t="e">
        <f>SUM(D62:Q62)</f>
        <v>#REF!</v>
      </c>
      <c r="U62" s="106"/>
      <c r="V62" s="116" t="s">
        <v>209</v>
      </c>
      <c r="W62" s="115" t="e">
        <f>SUM(D62:Q62)</f>
        <v>#REF!</v>
      </c>
    </row>
    <row r="63" spans="3:25" x14ac:dyDescent="0.2">
      <c r="G63" s="93"/>
      <c r="R63" s="110"/>
      <c r="S63" s="110"/>
      <c r="T63" s="110"/>
      <c r="V63" s="114" t="s">
        <v>205</v>
      </c>
      <c r="W63" s="113" t="e">
        <f>T62/-T61</f>
        <v>#REF!</v>
      </c>
    </row>
    <row r="64" spans="3:25" x14ac:dyDescent="0.2">
      <c r="C64" s="93" t="s">
        <v>210</v>
      </c>
      <c r="D64" s="106">
        <f>D61</f>
        <v>-8000000</v>
      </c>
      <c r="E64" s="106">
        <f>+D64+E61</f>
        <v>-8296232</v>
      </c>
      <c r="F64" s="106"/>
      <c r="G64" s="106"/>
      <c r="H64" s="106">
        <f>+E64+H61</f>
        <v>-8429833</v>
      </c>
      <c r="I64" s="106"/>
      <c r="J64" s="106"/>
      <c r="K64" s="106">
        <f>+H64+K61</f>
        <v>-8856496</v>
      </c>
      <c r="L64" s="106"/>
      <c r="M64" s="106"/>
      <c r="N64" s="106">
        <f>+K64+N61</f>
        <v>-9470680</v>
      </c>
      <c r="O64" s="106"/>
      <c r="P64" s="106"/>
      <c r="Q64" s="106">
        <f>+N64+Q61</f>
        <v>-10000000</v>
      </c>
      <c r="R64" s="106"/>
      <c r="S64" s="106"/>
      <c r="T64" s="106"/>
      <c r="V64" s="114" t="s">
        <v>330</v>
      </c>
      <c r="W64" s="113" t="e">
        <f>(T60/-T61)-1</f>
        <v>#REF!</v>
      </c>
    </row>
    <row r="65" spans="3:25" x14ac:dyDescent="0.2">
      <c r="E65" s="106" t="e">
        <f>E62/(1+E58)^E57</f>
        <v>#REF!</v>
      </c>
      <c r="F65" s="106"/>
      <c r="G65" s="106"/>
      <c r="H65" s="106" t="e">
        <f>H62/(1+H58)^H57</f>
        <v>#REF!</v>
      </c>
      <c r="I65" s="106"/>
      <c r="J65" s="106"/>
      <c r="K65" s="106" t="e">
        <f>K62/(1+K58)^K57</f>
        <v>#REF!</v>
      </c>
      <c r="L65" s="106"/>
      <c r="M65" s="106"/>
      <c r="N65" s="106" t="e">
        <f>N62/(1+N58)^N57</f>
        <v>#REF!</v>
      </c>
      <c r="O65" s="106"/>
      <c r="P65" s="106"/>
      <c r="Q65" s="106" t="e">
        <f>Q62/(1+Q58)^Q57</f>
        <v>#REF!</v>
      </c>
      <c r="R65" s="110"/>
      <c r="S65" s="110"/>
      <c r="T65" s="110"/>
      <c r="V65" s="114"/>
      <c r="W65" s="113"/>
    </row>
    <row r="66" spans="3:25" ht="15.75" thickBot="1" x14ac:dyDescent="0.25">
      <c r="V66" s="112" t="s">
        <v>211</v>
      </c>
      <c r="W66" s="111" t="e">
        <f>W63/Q57</f>
        <v>#REF!</v>
      </c>
    </row>
    <row r="67" spans="3:25" x14ac:dyDescent="0.2">
      <c r="C67" s="93" t="s">
        <v>212</v>
      </c>
      <c r="D67" s="110" t="e">
        <f>E65</f>
        <v>#REF!</v>
      </c>
    </row>
    <row r="68" spans="3:25" x14ac:dyDescent="0.2">
      <c r="C68" s="93" t="s">
        <v>213</v>
      </c>
      <c r="D68" s="110" t="e">
        <f>H65</f>
        <v>#REF!</v>
      </c>
    </row>
    <row r="69" spans="3:25" x14ac:dyDescent="0.2">
      <c r="C69" s="93" t="s">
        <v>214</v>
      </c>
      <c r="D69" s="110" t="e">
        <f>K65</f>
        <v>#REF!</v>
      </c>
      <c r="V69"/>
      <c r="W69"/>
      <c r="X69"/>
      <c r="Y69"/>
    </row>
    <row r="70" spans="3:25" x14ac:dyDescent="0.2">
      <c r="C70" s="93" t="s">
        <v>215</v>
      </c>
      <c r="D70" s="110" t="e">
        <f>N65</f>
        <v>#REF!</v>
      </c>
      <c r="V70" s="571"/>
      <c r="W70" s="94"/>
      <c r="X70"/>
      <c r="Y70"/>
    </row>
    <row r="71" spans="3:25" x14ac:dyDescent="0.2">
      <c r="C71" s="93" t="s">
        <v>216</v>
      </c>
      <c r="D71" s="110" t="e">
        <f>Q65</f>
        <v>#REF!</v>
      </c>
      <c r="V71"/>
      <c r="W71"/>
      <c r="X71"/>
      <c r="Y71"/>
    </row>
    <row r="73" spans="3:25" x14ac:dyDescent="0.2">
      <c r="C73" s="93" t="s">
        <v>217</v>
      </c>
      <c r="D73" s="106" t="e">
        <f>SUM(D67:D72)</f>
        <v>#REF!</v>
      </c>
    </row>
    <row r="74" spans="3:25" x14ac:dyDescent="0.2">
      <c r="C74" s="109" t="s">
        <v>218</v>
      </c>
      <c r="D74" s="108" t="e">
        <f>D73+D62</f>
        <v>#REF!</v>
      </c>
    </row>
    <row r="76" spans="3:25" ht="12.75" x14ac:dyDescent="0.15">
      <c r="C76" s="93" t="s">
        <v>219</v>
      </c>
      <c r="D76" s="107" t="e">
        <f>IRR(D62:Q62)</f>
        <v>#VALUE!</v>
      </c>
      <c r="E76" s="106"/>
      <c r="F76" s="106"/>
      <c r="G76" s="106"/>
      <c r="H76" s="106"/>
      <c r="I76" s="106"/>
      <c r="J76" s="106"/>
    </row>
    <row r="77" spans="3:25" ht="12.75" x14ac:dyDescent="0.15">
      <c r="C77" s="95"/>
      <c r="G77" s="93"/>
    </row>
    <row r="78" spans="3:25" ht="12.75" x14ac:dyDescent="0.15">
      <c r="C78" s="105"/>
      <c r="G78" s="93"/>
    </row>
    <row r="79" spans="3:25" ht="12.75" x14ac:dyDescent="0.15">
      <c r="G79" s="93"/>
    </row>
    <row r="80" spans="3:25" ht="12.75" x14ac:dyDescent="0.15">
      <c r="D80" s="104" t="s">
        <v>220</v>
      </c>
      <c r="E80" s="103" t="e">
        <f>H38/J29</f>
        <v>#REF!</v>
      </c>
      <c r="F80" s="103"/>
      <c r="G80" s="103"/>
      <c r="H80" s="103">
        <f>K38/M29</f>
        <v>3834774.6010754034</v>
      </c>
      <c r="I80" s="103"/>
      <c r="J80" s="103"/>
      <c r="K80" s="103">
        <f>K38/M29</f>
        <v>3834774.6010754034</v>
      </c>
      <c r="L80" s="103"/>
      <c r="M80" s="103"/>
      <c r="N80" s="103">
        <f>N38/P29</f>
        <v>4010784.1947486037</v>
      </c>
      <c r="O80" s="103"/>
      <c r="P80" s="103"/>
      <c r="Q80" s="103" t="e">
        <f>Q38/S29</f>
        <v>#REF!</v>
      </c>
    </row>
    <row r="81" spans="4:17" ht="12.75" x14ac:dyDescent="0.15">
      <c r="D81" s="102" t="s">
        <v>221</v>
      </c>
      <c r="E81" s="101" t="e">
        <f>+(H38+(-E61))/J29</f>
        <v>#REF!</v>
      </c>
      <c r="F81" s="101"/>
      <c r="G81" s="101"/>
      <c r="H81" s="101">
        <f>+(K38+(-H61))/M29</f>
        <v>4074092.8901718832</v>
      </c>
      <c r="I81" s="101"/>
      <c r="J81" s="101"/>
      <c r="K81" s="101">
        <f>+(K38+(-K61))/M29</f>
        <v>4599052.2575358441</v>
      </c>
      <c r="L81" s="101"/>
      <c r="M81" s="101"/>
      <c r="N81" s="101">
        <f>+(N38+(-N61))/P29</f>
        <v>5118171.353659736</v>
      </c>
      <c r="O81" s="101"/>
      <c r="P81" s="101"/>
      <c r="Q81" s="101" t="e">
        <f>+(Q38+(-Q61))/S29</f>
        <v>#REF!</v>
      </c>
    </row>
    <row r="82" spans="4:17" ht="12.75" x14ac:dyDescent="0.15">
      <c r="D82" s="100" t="s">
        <v>222</v>
      </c>
      <c r="E82" s="99" t="e">
        <f>+H29/H40</f>
        <v>#REF!</v>
      </c>
      <c r="F82" s="99"/>
      <c r="G82" s="99"/>
      <c r="H82" s="99">
        <f>+K29/K40</f>
        <v>1.7266613122615577</v>
      </c>
      <c r="I82" s="99"/>
      <c r="J82" s="99"/>
      <c r="K82" s="99">
        <f>+K29/K40</f>
        <v>1.7266613122615577</v>
      </c>
      <c r="L82" s="99"/>
      <c r="M82" s="99"/>
      <c r="N82" s="99">
        <f>+N29/N40</f>
        <v>1.7254400065087696</v>
      </c>
      <c r="O82" s="99"/>
      <c r="P82" s="99"/>
      <c r="Q82" s="99" t="e">
        <f>+Q29/Q40</f>
        <v>#REF!</v>
      </c>
    </row>
    <row r="83" spans="4:17" ht="12.75" x14ac:dyDescent="0.15">
      <c r="E83" s="97"/>
      <c r="F83" s="97"/>
      <c r="G83" s="98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5" spans="4:17" x14ac:dyDescent="0.2">
      <c r="N85" s="96"/>
      <c r="O85" s="96"/>
      <c r="P85" s="96"/>
    </row>
    <row r="86" spans="4:17" x14ac:dyDescent="0.2">
      <c r="E86" s="95"/>
    </row>
  </sheetData>
  <mergeCells count="1">
    <mergeCell ref="V61:W61"/>
  </mergeCells>
  <printOptions horizontalCentered="1" verticalCentered="1"/>
  <pageMargins left="0.35" right="0.43" top="0.26" bottom="0.45" header="0.28000000000000003" footer="0.5"/>
  <pageSetup scale="70" orientation="landscape" horizontalDpi="1200" verticalDpi="1200" r:id="rId1"/>
  <headerFooter alignWithMargins="0"/>
  <colBreaks count="1" manualBreakCount="1">
    <brk id="17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0C2B-6621-46D9-8D34-4AFA8ECA3574}">
  <dimension ref="B1:I12"/>
  <sheetViews>
    <sheetView showGridLines="0" zoomScale="108" zoomScaleNormal="100" workbookViewId="0">
      <selection activeCell="B17" sqref="B17"/>
    </sheetView>
  </sheetViews>
  <sheetFormatPr defaultColWidth="8.875" defaultRowHeight="15" x14ac:dyDescent="0.2"/>
  <cols>
    <col min="1" max="1" width="2.82421875" customWidth="1"/>
    <col min="2" max="2" width="22.1953125" bestFit="1" customWidth="1"/>
    <col min="3" max="3" width="18.0234375" style="319" bestFit="1" customWidth="1"/>
    <col min="4" max="4" width="13.44921875" style="319" bestFit="1" customWidth="1"/>
    <col min="5" max="5" width="11.43359375" style="319" customWidth="1"/>
    <col min="6" max="6" width="10.76171875" style="319" customWidth="1"/>
    <col min="7" max="7" width="11.56640625" style="319" customWidth="1"/>
    <col min="8" max="8" width="14.125" style="319" customWidth="1"/>
    <col min="9" max="9" width="15.87109375" style="319" customWidth="1"/>
  </cols>
  <sheetData>
    <row r="1" spans="2:9" ht="16.5" x14ac:dyDescent="0.2">
      <c r="C1" s="330"/>
      <c r="D1" s="329"/>
      <c r="E1" s="328"/>
      <c r="F1" s="328"/>
      <c r="G1" s="328"/>
      <c r="H1" s="328"/>
      <c r="I1" s="327"/>
    </row>
    <row r="2" spans="2:9" x14ac:dyDescent="0.2">
      <c r="D2" s="326"/>
    </row>
    <row r="3" spans="2:9" ht="15.75" thickBot="1" x14ac:dyDescent="0.25">
      <c r="D3" s="326"/>
    </row>
    <row r="4" spans="2:9" x14ac:dyDescent="0.2">
      <c r="B4" s="425" t="s">
        <v>204</v>
      </c>
      <c r="C4" s="420"/>
      <c r="D4" s="420" t="s">
        <v>310</v>
      </c>
      <c r="E4" s="420" t="s">
        <v>309</v>
      </c>
      <c r="F4" s="420" t="s">
        <v>308</v>
      </c>
      <c r="G4" s="420" t="s">
        <v>307</v>
      </c>
      <c r="H4" s="421" t="s">
        <v>306</v>
      </c>
      <c r="I4"/>
    </row>
    <row r="5" spans="2:9" ht="16.5" x14ac:dyDescent="0.2">
      <c r="B5" s="325" t="s">
        <v>305</v>
      </c>
      <c r="C5" s="324">
        <f>8000000</f>
        <v>8000000</v>
      </c>
      <c r="D5" s="323">
        <v>0.2</v>
      </c>
      <c r="E5" s="323">
        <f>C5/C8</f>
        <v>0.70175438596491224</v>
      </c>
      <c r="F5" s="322">
        <f>D5*E5</f>
        <v>0.14035087719298245</v>
      </c>
      <c r="G5" s="322">
        <v>1</v>
      </c>
      <c r="H5" s="321">
        <f>F5*G5</f>
        <v>0.14035087719298245</v>
      </c>
      <c r="I5"/>
    </row>
    <row r="6" spans="2:9" ht="16.5" x14ac:dyDescent="0.2">
      <c r="B6" s="325" t="s">
        <v>304</v>
      </c>
      <c r="C6" s="324">
        <f>'Loan long term'!G4</f>
        <v>3000000</v>
      </c>
      <c r="D6" s="323">
        <f>'Loan long term'!G8</f>
        <v>3.1399999999999997E-2</v>
      </c>
      <c r="E6" s="323">
        <f>C6/C8</f>
        <v>0.26315789473684209</v>
      </c>
      <c r="F6" s="322">
        <f>D6*E6</f>
        <v>8.2631578947368403E-3</v>
      </c>
      <c r="G6" s="322">
        <f>100%-25%</f>
        <v>0.75</v>
      </c>
      <c r="H6" s="321">
        <f>F6*G6</f>
        <v>6.1973684210526302E-3</v>
      </c>
      <c r="I6"/>
    </row>
    <row r="7" spans="2:9" ht="16.5" x14ac:dyDescent="0.2">
      <c r="B7" s="325" t="s">
        <v>303</v>
      </c>
      <c r="C7" s="324">
        <f>'Loan short term'!D15</f>
        <v>400000</v>
      </c>
      <c r="D7" s="323">
        <f>'Loan short term'!D8</f>
        <v>6.5000000000000002E-2</v>
      </c>
      <c r="E7" s="323">
        <f>C7/C8</f>
        <v>3.5087719298245612E-2</v>
      </c>
      <c r="F7" s="322">
        <f>D7*E7</f>
        <v>2.2807017543859647E-3</v>
      </c>
      <c r="G7" s="322">
        <f>100%-25%</f>
        <v>0.75</v>
      </c>
      <c r="H7" s="321">
        <f>F7*G7</f>
        <v>1.7105263157894735E-3</v>
      </c>
      <c r="I7"/>
    </row>
    <row r="8" spans="2:9" ht="17.25" thickBot="1" x14ac:dyDescent="0.25">
      <c r="B8" s="422" t="s">
        <v>81</v>
      </c>
      <c r="C8" s="423">
        <f>SUM(C5:C7)</f>
        <v>11400000</v>
      </c>
      <c r="D8" s="320"/>
      <c r="E8" s="320"/>
      <c r="F8" s="320"/>
      <c r="G8" s="320"/>
      <c r="H8" s="424">
        <f>SUM(H5:H7)</f>
        <v>0.14825877192982453</v>
      </c>
      <c r="I8"/>
    </row>
    <row r="9" spans="2:9" x14ac:dyDescent="0.2">
      <c r="B9" s="319"/>
      <c r="I9"/>
    </row>
    <row r="10" spans="2:9" x14ac:dyDescent="0.2">
      <c r="B10" s="319"/>
      <c r="I10"/>
    </row>
    <row r="11" spans="2:9" x14ac:dyDescent="0.2">
      <c r="B11" s="319"/>
      <c r="I11"/>
    </row>
    <row r="12" spans="2:9" x14ac:dyDescent="0.2">
      <c r="B12" s="319"/>
      <c r="I12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BF6E-8B57-4C35-A517-E63D3D88B2C3}">
  <dimension ref="A1"/>
  <sheetViews>
    <sheetView zoomScale="38" workbookViewId="0">
      <selection activeCell="R6" sqref="R6"/>
    </sheetView>
  </sheetViews>
  <sheetFormatPr defaultColWidth="10.7617187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68C3C-CB06-4C39-98B1-C6E4E4F55299}">
  <dimension ref="A1:Q101"/>
  <sheetViews>
    <sheetView topLeftCell="A44" zoomScale="50" zoomScaleNormal="90" workbookViewId="0">
      <pane xSplit="1" topLeftCell="B44" activePane="topRight" state="frozen"/>
      <selection activeCell="A44" sqref="A44"/>
      <selection pane="topRight" activeCell="C62" sqref="C62"/>
    </sheetView>
  </sheetViews>
  <sheetFormatPr defaultColWidth="8.875" defaultRowHeight="15" x14ac:dyDescent="0.2"/>
  <cols>
    <col min="1" max="1" width="23.9453125" style="2" customWidth="1"/>
    <col min="2" max="2" width="16.8125" style="2" customWidth="1"/>
    <col min="3" max="3" width="16.41015625" style="2" bestFit="1" customWidth="1"/>
    <col min="4" max="4" width="13.046875" style="2" bestFit="1" customWidth="1"/>
    <col min="5" max="5" width="13.44921875" style="2" bestFit="1" customWidth="1"/>
    <col min="6" max="13" width="13.046875" style="2" bestFit="1" customWidth="1"/>
    <col min="14" max="14" width="18.29296875" customWidth="1"/>
    <col min="16" max="16" width="13.44921875" bestFit="1" customWidth="1"/>
    <col min="17" max="17" width="14.66015625" bestFit="1" customWidth="1"/>
  </cols>
  <sheetData>
    <row r="1" spans="1:17" ht="15.75" thickBot="1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4"/>
      <c r="O1" s="574"/>
    </row>
    <row r="2" spans="1:17" ht="15.75" thickBot="1" x14ac:dyDescent="0.25">
      <c r="A2" s="575" t="s">
        <v>0</v>
      </c>
      <c r="B2" s="573">
        <v>35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4"/>
      <c r="O2" s="574"/>
    </row>
    <row r="3" spans="1:17" x14ac:dyDescent="0.2">
      <c r="A3" s="576"/>
      <c r="B3" s="577">
        <v>31</v>
      </c>
      <c r="C3" s="578">
        <v>28</v>
      </c>
      <c r="D3" s="578">
        <v>31</v>
      </c>
      <c r="E3" s="578">
        <v>30</v>
      </c>
      <c r="F3" s="578">
        <v>31</v>
      </c>
      <c r="G3" s="578">
        <v>30</v>
      </c>
      <c r="H3" s="578">
        <v>31</v>
      </c>
      <c r="I3" s="578">
        <v>31</v>
      </c>
      <c r="J3" s="578">
        <v>30</v>
      </c>
      <c r="K3" s="578">
        <v>31</v>
      </c>
      <c r="L3" s="578">
        <v>30</v>
      </c>
      <c r="M3" s="578">
        <v>31</v>
      </c>
      <c r="N3" s="579"/>
      <c r="O3" s="574"/>
    </row>
    <row r="4" spans="1:17" x14ac:dyDescent="0.2">
      <c r="A4" s="637" t="s">
        <v>1</v>
      </c>
      <c r="B4" s="638" t="s">
        <v>2</v>
      </c>
      <c r="C4" s="639" t="s">
        <v>3</v>
      </c>
      <c r="D4" s="639" t="s">
        <v>4</v>
      </c>
      <c r="E4" s="639" t="s">
        <v>5</v>
      </c>
      <c r="F4" s="639" t="s">
        <v>6</v>
      </c>
      <c r="G4" s="639" t="s">
        <v>7</v>
      </c>
      <c r="H4" s="639" t="s">
        <v>8</v>
      </c>
      <c r="I4" s="639" t="s">
        <v>9</v>
      </c>
      <c r="J4" s="639" t="s">
        <v>10</v>
      </c>
      <c r="K4" s="639" t="s">
        <v>11</v>
      </c>
      <c r="L4" s="639" t="s">
        <v>12</v>
      </c>
      <c r="M4" s="639" t="s">
        <v>13</v>
      </c>
      <c r="N4" s="640" t="s">
        <v>14</v>
      </c>
      <c r="O4" s="574"/>
    </row>
    <row r="5" spans="1:17" x14ac:dyDescent="0.2">
      <c r="A5" s="667" t="s">
        <v>15</v>
      </c>
      <c r="B5" s="580" t="s">
        <v>16</v>
      </c>
      <c r="C5" s="581" t="s">
        <v>16</v>
      </c>
      <c r="D5" s="581" t="s">
        <v>16</v>
      </c>
      <c r="E5" s="581" t="s">
        <v>17</v>
      </c>
      <c r="F5" s="581" t="s">
        <v>17</v>
      </c>
      <c r="G5" s="581" t="s">
        <v>18</v>
      </c>
      <c r="H5" s="581" t="s">
        <v>17</v>
      </c>
      <c r="I5" s="581" t="s">
        <v>18</v>
      </c>
      <c r="J5" s="581" t="s">
        <v>18</v>
      </c>
      <c r="K5" s="581" t="s">
        <v>18</v>
      </c>
      <c r="L5" s="581" t="s">
        <v>17</v>
      </c>
      <c r="M5" s="581" t="s">
        <v>16</v>
      </c>
      <c r="N5" s="644"/>
      <c r="O5" s="574"/>
    </row>
    <row r="6" spans="1:17" x14ac:dyDescent="0.2">
      <c r="A6" s="668" t="s">
        <v>19</v>
      </c>
      <c r="B6" s="582">
        <v>1.92</v>
      </c>
      <c r="C6" s="582">
        <v>1.92</v>
      </c>
      <c r="D6" s="582">
        <v>1.95</v>
      </c>
      <c r="E6" s="582">
        <v>1.95</v>
      </c>
      <c r="F6" s="582">
        <v>1.97</v>
      </c>
      <c r="G6" s="582">
        <v>2</v>
      </c>
      <c r="H6" s="582">
        <v>2</v>
      </c>
      <c r="I6" s="582">
        <v>2</v>
      </c>
      <c r="J6" s="582">
        <v>1.97</v>
      </c>
      <c r="K6" s="582">
        <v>1.95</v>
      </c>
      <c r="L6" s="582">
        <v>1.92</v>
      </c>
      <c r="M6" s="582">
        <v>1.92</v>
      </c>
      <c r="N6" s="645">
        <f>N17/N10</f>
        <v>1.9593954577039825</v>
      </c>
      <c r="O6" s="574"/>
    </row>
    <row r="7" spans="1:17" x14ac:dyDescent="0.2">
      <c r="A7" s="668" t="s">
        <v>20</v>
      </c>
      <c r="B7" s="583">
        <v>0.52</v>
      </c>
      <c r="C7" s="583">
        <v>0.67</v>
      </c>
      <c r="D7" s="583">
        <v>0.68</v>
      </c>
      <c r="E7" s="583">
        <v>0.8</v>
      </c>
      <c r="F7" s="583">
        <v>0.82</v>
      </c>
      <c r="G7" s="583">
        <v>0.85</v>
      </c>
      <c r="H7" s="583">
        <v>0.75</v>
      </c>
      <c r="I7" s="583">
        <v>0.85</v>
      </c>
      <c r="J7" s="583">
        <v>0.9</v>
      </c>
      <c r="K7" s="583">
        <v>0.85</v>
      </c>
      <c r="L7" s="583">
        <v>0.7</v>
      </c>
      <c r="M7" s="583">
        <v>0.6</v>
      </c>
      <c r="N7" s="646">
        <f>N10/N9</f>
        <v>0.74912328767123282</v>
      </c>
      <c r="O7" s="574"/>
    </row>
    <row r="8" spans="1:17" x14ac:dyDescent="0.2">
      <c r="A8" s="669" t="s">
        <v>21</v>
      </c>
      <c r="B8" s="584">
        <f>$B$2</f>
        <v>35</v>
      </c>
      <c r="C8" s="584">
        <f t="shared" ref="C8:M8" si="0">$B$2</f>
        <v>35</v>
      </c>
      <c r="D8" s="584">
        <f t="shared" si="0"/>
        <v>35</v>
      </c>
      <c r="E8" s="584">
        <f t="shared" si="0"/>
        <v>35</v>
      </c>
      <c r="F8" s="584">
        <f t="shared" si="0"/>
        <v>35</v>
      </c>
      <c r="G8" s="584">
        <f t="shared" si="0"/>
        <v>35</v>
      </c>
      <c r="H8" s="584">
        <f t="shared" si="0"/>
        <v>35</v>
      </c>
      <c r="I8" s="584">
        <f t="shared" si="0"/>
        <v>35</v>
      </c>
      <c r="J8" s="584">
        <f t="shared" si="0"/>
        <v>35</v>
      </c>
      <c r="K8" s="584">
        <f t="shared" si="0"/>
        <v>35</v>
      </c>
      <c r="L8" s="584">
        <f t="shared" si="0"/>
        <v>35</v>
      </c>
      <c r="M8" s="584">
        <f t="shared" si="0"/>
        <v>35</v>
      </c>
      <c r="N8" s="647">
        <v>170</v>
      </c>
      <c r="O8" s="574"/>
    </row>
    <row r="9" spans="1:17" x14ac:dyDescent="0.2">
      <c r="A9" s="669" t="s">
        <v>22</v>
      </c>
      <c r="B9" s="585">
        <f t="shared" ref="B9:M9" si="1">B8*B3</f>
        <v>1085</v>
      </c>
      <c r="C9" s="585">
        <f t="shared" si="1"/>
        <v>980</v>
      </c>
      <c r="D9" s="585">
        <f t="shared" si="1"/>
        <v>1085</v>
      </c>
      <c r="E9" s="585">
        <f t="shared" si="1"/>
        <v>1050</v>
      </c>
      <c r="F9" s="585">
        <f t="shared" si="1"/>
        <v>1085</v>
      </c>
      <c r="G9" s="585">
        <f t="shared" si="1"/>
        <v>1050</v>
      </c>
      <c r="H9" s="585">
        <f t="shared" si="1"/>
        <v>1085</v>
      </c>
      <c r="I9" s="585">
        <f t="shared" si="1"/>
        <v>1085</v>
      </c>
      <c r="J9" s="585">
        <f t="shared" si="1"/>
        <v>1050</v>
      </c>
      <c r="K9" s="585">
        <f t="shared" si="1"/>
        <v>1085</v>
      </c>
      <c r="L9" s="585">
        <f t="shared" si="1"/>
        <v>1050</v>
      </c>
      <c r="M9" s="585">
        <f t="shared" si="1"/>
        <v>1085</v>
      </c>
      <c r="N9" s="648">
        <f>SUM(B9:M9)</f>
        <v>12775</v>
      </c>
      <c r="O9" s="574"/>
    </row>
    <row r="10" spans="1:17" x14ac:dyDescent="0.2">
      <c r="A10" s="669" t="s">
        <v>23</v>
      </c>
      <c r="B10" s="585">
        <f>B7*B9</f>
        <v>564.20000000000005</v>
      </c>
      <c r="C10" s="585">
        <f t="shared" ref="C10:M10" si="2">C7*C9</f>
        <v>656.6</v>
      </c>
      <c r="D10" s="585">
        <f t="shared" si="2"/>
        <v>737.80000000000007</v>
      </c>
      <c r="E10" s="585">
        <f t="shared" si="2"/>
        <v>840</v>
      </c>
      <c r="F10" s="585">
        <f t="shared" si="2"/>
        <v>889.69999999999993</v>
      </c>
      <c r="G10" s="585">
        <f t="shared" si="2"/>
        <v>892.5</v>
      </c>
      <c r="H10" s="585">
        <f t="shared" si="2"/>
        <v>813.75</v>
      </c>
      <c r="I10" s="585">
        <f t="shared" si="2"/>
        <v>922.25</v>
      </c>
      <c r="J10" s="585">
        <f t="shared" si="2"/>
        <v>945</v>
      </c>
      <c r="K10" s="585">
        <f t="shared" si="2"/>
        <v>922.25</v>
      </c>
      <c r="L10" s="585">
        <f t="shared" si="2"/>
        <v>735</v>
      </c>
      <c r="M10" s="585">
        <f t="shared" si="2"/>
        <v>651</v>
      </c>
      <c r="N10" s="648">
        <f>SUM(B10:M10)</f>
        <v>9570.0499999999993</v>
      </c>
      <c r="O10" s="574"/>
    </row>
    <row r="11" spans="1:17" x14ac:dyDescent="0.2">
      <c r="A11" s="669" t="s">
        <v>24</v>
      </c>
      <c r="B11" s="586">
        <f>B13/B15</f>
        <v>0.5</v>
      </c>
      <c r="C11" s="586">
        <f t="shared" ref="C11:M11" si="3">C13/C15</f>
        <v>0.5</v>
      </c>
      <c r="D11" s="586">
        <f t="shared" si="3"/>
        <v>0.4</v>
      </c>
      <c r="E11" s="586">
        <f t="shared" si="3"/>
        <v>0.5</v>
      </c>
      <c r="F11" s="586">
        <f t="shared" si="3"/>
        <v>0.5</v>
      </c>
      <c r="G11" s="586">
        <f t="shared" si="3"/>
        <v>0.58333333333333337</v>
      </c>
      <c r="H11" s="586">
        <f t="shared" si="3"/>
        <v>0.5</v>
      </c>
      <c r="I11" s="586">
        <f t="shared" si="3"/>
        <v>0.58333333333333337</v>
      </c>
      <c r="J11" s="586">
        <f t="shared" si="3"/>
        <v>0.58333333333333337</v>
      </c>
      <c r="K11" s="586">
        <f t="shared" si="3"/>
        <v>0.63636363636363635</v>
      </c>
      <c r="L11" s="586">
        <f t="shared" si="3"/>
        <v>0.625</v>
      </c>
      <c r="M11" s="586">
        <f t="shared" si="3"/>
        <v>0.5</v>
      </c>
      <c r="N11" s="649">
        <f>N13/N15</f>
        <v>0.54043354054205717</v>
      </c>
      <c r="O11" s="574"/>
    </row>
    <row r="12" spans="1:17" x14ac:dyDescent="0.2">
      <c r="A12" s="669" t="s">
        <v>25</v>
      </c>
      <c r="B12" s="587">
        <f t="shared" ref="B12:N12" si="4">B17/(B9*2)</f>
        <v>0.49920000000000003</v>
      </c>
      <c r="C12" s="587">
        <f t="shared" si="4"/>
        <v>0.64319999999999999</v>
      </c>
      <c r="D12" s="587">
        <f t="shared" si="4"/>
        <v>0.66300000000000003</v>
      </c>
      <c r="E12" s="587">
        <f t="shared" si="4"/>
        <v>0.78</v>
      </c>
      <c r="F12" s="587">
        <f t="shared" si="4"/>
        <v>0.80769999999999997</v>
      </c>
      <c r="G12" s="587">
        <f t="shared" si="4"/>
        <v>0.85</v>
      </c>
      <c r="H12" s="587">
        <f t="shared" si="4"/>
        <v>0.75</v>
      </c>
      <c r="I12" s="587">
        <f t="shared" si="4"/>
        <v>0.85</v>
      </c>
      <c r="J12" s="587">
        <f t="shared" si="4"/>
        <v>0.88649999999999995</v>
      </c>
      <c r="K12" s="587">
        <f t="shared" si="4"/>
        <v>0.82874999999999999</v>
      </c>
      <c r="L12" s="587">
        <f t="shared" si="4"/>
        <v>0.67200000000000004</v>
      </c>
      <c r="M12" s="587">
        <f t="shared" si="4"/>
        <v>0.57599999999999996</v>
      </c>
      <c r="N12" s="650">
        <f t="shared" si="4"/>
        <v>0.73391438356164374</v>
      </c>
      <c r="O12" s="574"/>
      <c r="P12" s="63">
        <f>N28+N29+N30+N31</f>
        <v>553019.28750000009</v>
      </c>
      <c r="Q12" s="63">
        <f>P12+'F&amp;B Income Statement'!N39</f>
        <v>1681143.6752701253</v>
      </c>
    </row>
    <row r="13" spans="1:17" x14ac:dyDescent="0.2">
      <c r="A13" s="667" t="s">
        <v>26</v>
      </c>
      <c r="B13" s="588">
        <v>220</v>
      </c>
      <c r="C13" s="588">
        <v>220</v>
      </c>
      <c r="D13" s="588">
        <v>220</v>
      </c>
      <c r="E13" s="588">
        <v>275</v>
      </c>
      <c r="F13" s="588">
        <v>275</v>
      </c>
      <c r="G13" s="588">
        <v>350</v>
      </c>
      <c r="H13" s="588">
        <v>275</v>
      </c>
      <c r="I13" s="588">
        <v>350</v>
      </c>
      <c r="J13" s="588">
        <v>350</v>
      </c>
      <c r="K13" s="588">
        <v>350</v>
      </c>
      <c r="L13" s="588">
        <v>275</v>
      </c>
      <c r="M13" s="588">
        <f>C13</f>
        <v>220</v>
      </c>
      <c r="N13" s="651">
        <f>N21/N10</f>
        <v>288.85802582013679</v>
      </c>
      <c r="O13" s="574"/>
    </row>
    <row r="14" spans="1:17" x14ac:dyDescent="0.2">
      <c r="A14" s="667" t="s">
        <v>27</v>
      </c>
      <c r="B14" s="588">
        <f t="shared" ref="B14:M14" si="5">B21/B9</f>
        <v>114.40000000000002</v>
      </c>
      <c r="C14" s="588">
        <f t="shared" si="5"/>
        <v>147.4</v>
      </c>
      <c r="D14" s="588">
        <f t="shared" si="5"/>
        <v>149.60000000000002</v>
      </c>
      <c r="E14" s="588">
        <f t="shared" si="5"/>
        <v>220</v>
      </c>
      <c r="F14" s="588">
        <f t="shared" si="5"/>
        <v>225.49999999999997</v>
      </c>
      <c r="G14" s="588">
        <f t="shared" si="5"/>
        <v>297.5</v>
      </c>
      <c r="H14" s="588">
        <f t="shared" si="5"/>
        <v>206.25</v>
      </c>
      <c r="I14" s="588">
        <f t="shared" si="5"/>
        <v>297.5</v>
      </c>
      <c r="J14" s="588">
        <f t="shared" si="5"/>
        <v>315</v>
      </c>
      <c r="K14" s="588">
        <f t="shared" si="5"/>
        <v>297.5</v>
      </c>
      <c r="L14" s="588">
        <f t="shared" si="5"/>
        <v>192.5</v>
      </c>
      <c r="M14" s="588">
        <f t="shared" si="5"/>
        <v>132</v>
      </c>
      <c r="N14" s="651">
        <f>N21/N9</f>
        <v>216.39027397260273</v>
      </c>
      <c r="O14" s="574"/>
    </row>
    <row r="15" spans="1:17" x14ac:dyDescent="0.2">
      <c r="A15" s="667" t="s">
        <v>28</v>
      </c>
      <c r="B15" s="588">
        <f>C$52</f>
        <v>440</v>
      </c>
      <c r="C15" s="588">
        <f>C52</f>
        <v>440</v>
      </c>
      <c r="D15" s="588">
        <f>C51</f>
        <v>550</v>
      </c>
      <c r="E15" s="588">
        <f>$C51</f>
        <v>550</v>
      </c>
      <c r="F15" s="588">
        <f>$C51</f>
        <v>550</v>
      </c>
      <c r="G15" s="588">
        <f>$C50</f>
        <v>600</v>
      </c>
      <c r="H15" s="588">
        <f>$C51</f>
        <v>550</v>
      </c>
      <c r="I15" s="588">
        <f t="shared" ref="I15:J15" si="6">$C50</f>
        <v>600</v>
      </c>
      <c r="J15" s="588">
        <f t="shared" si="6"/>
        <v>600</v>
      </c>
      <c r="K15" s="588">
        <f>$C51</f>
        <v>550</v>
      </c>
      <c r="L15" s="588">
        <f>$C52</f>
        <v>440</v>
      </c>
      <c r="M15" s="588">
        <f>$C52</f>
        <v>440</v>
      </c>
      <c r="N15" s="651">
        <f>C53</f>
        <v>534.49315068493149</v>
      </c>
      <c r="O15" s="574"/>
    </row>
    <row r="16" spans="1:17" x14ac:dyDescent="0.2">
      <c r="A16" s="717" t="s">
        <v>377</v>
      </c>
      <c r="B16" s="589">
        <f>B10/B18</f>
        <v>434</v>
      </c>
      <c r="C16" s="589">
        <f>C10/C18</f>
        <v>469.00000000000006</v>
      </c>
      <c r="D16" s="589">
        <f t="shared" ref="D16:M16" si="7">D10/D18</f>
        <v>434.00000000000006</v>
      </c>
      <c r="E16" s="589">
        <f t="shared" si="7"/>
        <v>420</v>
      </c>
      <c r="F16" s="589">
        <f t="shared" si="7"/>
        <v>423.66666666666663</v>
      </c>
      <c r="G16" s="589">
        <f t="shared" si="7"/>
        <v>388.04347826086962</v>
      </c>
      <c r="H16" s="589">
        <f t="shared" si="7"/>
        <v>312.98076923076923</v>
      </c>
      <c r="I16" s="589">
        <f t="shared" si="7"/>
        <v>307.41666666666669</v>
      </c>
      <c r="J16" s="589">
        <f t="shared" si="7"/>
        <v>393.75</v>
      </c>
      <c r="K16" s="589">
        <f t="shared" si="7"/>
        <v>400.97826086956525</v>
      </c>
      <c r="L16" s="589">
        <f t="shared" si="7"/>
        <v>432.35294117647061</v>
      </c>
      <c r="M16" s="589">
        <f t="shared" si="7"/>
        <v>434</v>
      </c>
      <c r="N16" s="652">
        <f>SUM(B16:M16)</f>
        <v>4850.1887828710069</v>
      </c>
      <c r="O16" s="574"/>
    </row>
    <row r="17" spans="1:17" x14ac:dyDescent="0.2">
      <c r="A17" s="669" t="s">
        <v>29</v>
      </c>
      <c r="B17" s="585">
        <f t="shared" ref="B17:M17" si="8">B10*B6</f>
        <v>1083.2640000000001</v>
      </c>
      <c r="C17" s="585">
        <f t="shared" si="8"/>
        <v>1260.672</v>
      </c>
      <c r="D17" s="585">
        <f t="shared" si="8"/>
        <v>1438.71</v>
      </c>
      <c r="E17" s="585">
        <f t="shared" si="8"/>
        <v>1638</v>
      </c>
      <c r="F17" s="585">
        <f t="shared" si="8"/>
        <v>1752.7089999999998</v>
      </c>
      <c r="G17" s="585">
        <f t="shared" si="8"/>
        <v>1785</v>
      </c>
      <c r="H17" s="585">
        <f t="shared" si="8"/>
        <v>1627.5</v>
      </c>
      <c r="I17" s="585">
        <f t="shared" si="8"/>
        <v>1844.5</v>
      </c>
      <c r="J17" s="585">
        <f t="shared" si="8"/>
        <v>1861.6499999999999</v>
      </c>
      <c r="K17" s="585">
        <f t="shared" si="8"/>
        <v>1798.3875</v>
      </c>
      <c r="L17" s="585">
        <f t="shared" si="8"/>
        <v>1411.2</v>
      </c>
      <c r="M17" s="585">
        <f t="shared" si="8"/>
        <v>1249.9199999999998</v>
      </c>
      <c r="N17" s="648">
        <f>SUM(B17:M17)</f>
        <v>18751.512499999997</v>
      </c>
      <c r="O17" s="574"/>
    </row>
    <row r="18" spans="1:17" x14ac:dyDescent="0.2">
      <c r="A18" s="669" t="s">
        <v>30</v>
      </c>
      <c r="B18" s="582">
        <v>1.3</v>
      </c>
      <c r="C18" s="582">
        <v>1.4</v>
      </c>
      <c r="D18" s="582">
        <v>1.7</v>
      </c>
      <c r="E18" s="582">
        <v>2</v>
      </c>
      <c r="F18" s="582">
        <v>2.1</v>
      </c>
      <c r="G18" s="582">
        <v>2.2999999999999998</v>
      </c>
      <c r="H18" s="582">
        <v>2.6</v>
      </c>
      <c r="I18" s="582">
        <v>3</v>
      </c>
      <c r="J18" s="582">
        <v>2.4</v>
      </c>
      <c r="K18" s="582">
        <v>2.2999999999999998</v>
      </c>
      <c r="L18" s="582">
        <v>1.7</v>
      </c>
      <c r="M18" s="582">
        <v>1.5</v>
      </c>
      <c r="N18" s="645">
        <f>AVERAGE(B18:M18)</f>
        <v>2.0249999999999999</v>
      </c>
      <c r="O18" s="574"/>
    </row>
    <row r="19" spans="1:17" x14ac:dyDescent="0.2">
      <c r="A19" s="669" t="s">
        <v>31</v>
      </c>
      <c r="B19" s="588">
        <f t="shared" ref="B19:G19" si="9">B21/B17</f>
        <v>114.58333333333333</v>
      </c>
      <c r="C19" s="588">
        <f t="shared" si="9"/>
        <v>114.58333333333333</v>
      </c>
      <c r="D19" s="588">
        <f t="shared" si="9"/>
        <v>112.82051282051283</v>
      </c>
      <c r="E19" s="588">
        <f t="shared" si="9"/>
        <v>141.02564102564102</v>
      </c>
      <c r="F19" s="588">
        <f t="shared" si="9"/>
        <v>139.59390862944161</v>
      </c>
      <c r="G19" s="588">
        <f t="shared" si="9"/>
        <v>175</v>
      </c>
      <c r="H19" s="588">
        <f t="shared" ref="H19:M19" si="10">H21/H17</f>
        <v>137.5</v>
      </c>
      <c r="I19" s="588">
        <f t="shared" si="10"/>
        <v>175</v>
      </c>
      <c r="J19" s="588">
        <f t="shared" si="10"/>
        <v>177.66497461928935</v>
      </c>
      <c r="K19" s="588">
        <f t="shared" si="10"/>
        <v>179.48717948717947</v>
      </c>
      <c r="L19" s="588">
        <f t="shared" si="10"/>
        <v>143.22916666666666</v>
      </c>
      <c r="M19" s="588">
        <f t="shared" si="10"/>
        <v>114.58333333333334</v>
      </c>
      <c r="N19" s="651">
        <f>N21/N17</f>
        <v>147.42201462415366</v>
      </c>
      <c r="O19" s="574"/>
    </row>
    <row r="20" spans="1:17" x14ac:dyDescent="0.2">
      <c r="A20" s="669" t="s">
        <v>32</v>
      </c>
      <c r="B20" s="586">
        <f t="shared" ref="B20:M20" si="11">B7*B11</f>
        <v>0.26</v>
      </c>
      <c r="C20" s="586">
        <f t="shared" si="11"/>
        <v>0.33500000000000002</v>
      </c>
      <c r="D20" s="586">
        <f t="shared" si="11"/>
        <v>0.27200000000000002</v>
      </c>
      <c r="E20" s="586">
        <f t="shared" si="11"/>
        <v>0.4</v>
      </c>
      <c r="F20" s="586">
        <f t="shared" si="11"/>
        <v>0.41</v>
      </c>
      <c r="G20" s="586">
        <f t="shared" si="11"/>
        <v>0.49583333333333335</v>
      </c>
      <c r="H20" s="586">
        <f t="shared" si="11"/>
        <v>0.375</v>
      </c>
      <c r="I20" s="586">
        <f t="shared" si="11"/>
        <v>0.49583333333333335</v>
      </c>
      <c r="J20" s="586">
        <f t="shared" si="11"/>
        <v>0.52500000000000002</v>
      </c>
      <c r="K20" s="586">
        <f t="shared" si="11"/>
        <v>0.54090909090909089</v>
      </c>
      <c r="L20" s="586">
        <f t="shared" si="11"/>
        <v>0.4375</v>
      </c>
      <c r="M20" s="586">
        <f t="shared" si="11"/>
        <v>0.3</v>
      </c>
      <c r="N20" s="649">
        <f>N7*N11</f>
        <v>0.40485135065867034</v>
      </c>
      <c r="O20" s="574"/>
    </row>
    <row r="21" spans="1:17" x14ac:dyDescent="0.2">
      <c r="A21" s="670" t="s">
        <v>33</v>
      </c>
      <c r="B21" s="588">
        <f>B10*B13</f>
        <v>124124.00000000001</v>
      </c>
      <c r="C21" s="588">
        <f t="shared" ref="C21:M21" si="12">C10*C13</f>
        <v>144452</v>
      </c>
      <c r="D21" s="588">
        <f t="shared" si="12"/>
        <v>162316.00000000003</v>
      </c>
      <c r="E21" s="588">
        <f t="shared" si="12"/>
        <v>231000</v>
      </c>
      <c r="F21" s="588">
        <f t="shared" si="12"/>
        <v>244667.49999999997</v>
      </c>
      <c r="G21" s="588">
        <f t="shared" si="12"/>
        <v>312375</v>
      </c>
      <c r="H21" s="588">
        <f t="shared" si="12"/>
        <v>223781.25</v>
      </c>
      <c r="I21" s="588">
        <f t="shared" si="12"/>
        <v>322787.5</v>
      </c>
      <c r="J21" s="588">
        <f t="shared" si="12"/>
        <v>330750</v>
      </c>
      <c r="K21" s="588">
        <f t="shared" si="12"/>
        <v>322787.5</v>
      </c>
      <c r="L21" s="588">
        <f t="shared" si="12"/>
        <v>202125</v>
      </c>
      <c r="M21" s="588">
        <f t="shared" si="12"/>
        <v>143220</v>
      </c>
      <c r="N21" s="651">
        <f>SUM(B21:M21)</f>
        <v>2764385.75</v>
      </c>
      <c r="O21" s="574"/>
    </row>
    <row r="22" spans="1:17" x14ac:dyDescent="0.2">
      <c r="A22" s="572"/>
      <c r="B22" s="590"/>
      <c r="C22" s="5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653"/>
      <c r="O22" s="574"/>
    </row>
    <row r="23" spans="1:17" x14ac:dyDescent="0.2">
      <c r="A23" s="641" t="s">
        <v>15</v>
      </c>
      <c r="B23" s="638" t="s">
        <v>16</v>
      </c>
      <c r="C23" s="639" t="s">
        <v>16</v>
      </c>
      <c r="D23" s="639" t="s">
        <v>16</v>
      </c>
      <c r="E23" s="639" t="s">
        <v>17</v>
      </c>
      <c r="F23" s="639" t="s">
        <v>17</v>
      </c>
      <c r="G23" s="639" t="s">
        <v>18</v>
      </c>
      <c r="H23" s="639" t="s">
        <v>17</v>
      </c>
      <c r="I23" s="639" t="s">
        <v>18</v>
      </c>
      <c r="J23" s="639" t="s">
        <v>18</v>
      </c>
      <c r="K23" s="639" t="s">
        <v>18</v>
      </c>
      <c r="L23" s="639" t="s">
        <v>17</v>
      </c>
      <c r="M23" s="639" t="s">
        <v>16</v>
      </c>
      <c r="N23" s="654"/>
      <c r="O23" s="574"/>
    </row>
    <row r="24" spans="1:17" x14ac:dyDescent="0.2">
      <c r="A24" s="572"/>
      <c r="B24" s="591"/>
      <c r="C24" s="591"/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655" t="s">
        <v>14</v>
      </c>
      <c r="O24" s="592" t="s">
        <v>34</v>
      </c>
    </row>
    <row r="25" spans="1:17" x14ac:dyDescent="0.2">
      <c r="A25" s="642" t="s">
        <v>35</v>
      </c>
      <c r="B25" s="588">
        <f>B21</f>
        <v>124124.00000000001</v>
      </c>
      <c r="C25" s="588">
        <f t="shared" ref="C25:M25" si="13">C21</f>
        <v>144452</v>
      </c>
      <c r="D25" s="588">
        <f t="shared" si="13"/>
        <v>162316.00000000003</v>
      </c>
      <c r="E25" s="588">
        <f t="shared" si="13"/>
        <v>231000</v>
      </c>
      <c r="F25" s="588">
        <f t="shared" si="13"/>
        <v>244667.49999999997</v>
      </c>
      <c r="G25" s="588">
        <f t="shared" si="13"/>
        <v>312375</v>
      </c>
      <c r="H25" s="588">
        <f t="shared" si="13"/>
        <v>223781.25</v>
      </c>
      <c r="I25" s="588">
        <f t="shared" si="13"/>
        <v>322787.5</v>
      </c>
      <c r="J25" s="588">
        <f t="shared" si="13"/>
        <v>330750</v>
      </c>
      <c r="K25" s="588">
        <f t="shared" si="13"/>
        <v>322787.5</v>
      </c>
      <c r="L25" s="588">
        <f t="shared" si="13"/>
        <v>202125</v>
      </c>
      <c r="M25" s="588">
        <f t="shared" si="13"/>
        <v>143220</v>
      </c>
      <c r="N25" s="656">
        <f>SUM(B25:M25)</f>
        <v>2764385.75</v>
      </c>
      <c r="O25" s="593"/>
    </row>
    <row r="26" spans="1:17" x14ac:dyDescent="0.2">
      <c r="A26" s="643" t="s">
        <v>36</v>
      </c>
      <c r="B26" s="594">
        <f>J47</f>
        <v>0.1255</v>
      </c>
      <c r="C26" s="594">
        <f>J47</f>
        <v>0.1255</v>
      </c>
      <c r="D26" s="594">
        <f>J46</f>
        <v>0.12300000000000001</v>
      </c>
      <c r="E26" s="594">
        <f>J46</f>
        <v>0.12300000000000001</v>
      </c>
      <c r="F26" s="594">
        <f>J46</f>
        <v>0.12300000000000001</v>
      </c>
      <c r="G26" s="594">
        <f>J45</f>
        <v>0.12050000000000001</v>
      </c>
      <c r="H26" s="594">
        <f>J45</f>
        <v>0.12050000000000001</v>
      </c>
      <c r="I26" s="594">
        <f>J45</f>
        <v>0.12050000000000001</v>
      </c>
      <c r="J26" s="594">
        <f>J45</f>
        <v>0.12050000000000001</v>
      </c>
      <c r="K26" s="594">
        <f>J46</f>
        <v>0.12300000000000001</v>
      </c>
      <c r="L26" s="594">
        <f>J47</f>
        <v>0.1255</v>
      </c>
      <c r="M26" s="594">
        <f>J47</f>
        <v>0.1255</v>
      </c>
      <c r="N26" s="657">
        <f>N27/N25</f>
        <v>0.12247929413432983</v>
      </c>
      <c r="O26" s="593"/>
    </row>
    <row r="27" spans="1:17" x14ac:dyDescent="0.2">
      <c r="A27" s="643" t="s">
        <v>37</v>
      </c>
      <c r="B27" s="588">
        <f>B25*B26</f>
        <v>15577.562000000002</v>
      </c>
      <c r="C27" s="588">
        <f t="shared" ref="C27:M27" si="14">C25*C26</f>
        <v>18128.725999999999</v>
      </c>
      <c r="D27" s="588">
        <f t="shared" si="14"/>
        <v>19964.868000000006</v>
      </c>
      <c r="E27" s="588">
        <f t="shared" si="14"/>
        <v>28413.000000000004</v>
      </c>
      <c r="F27" s="588">
        <f t="shared" si="14"/>
        <v>30094.102500000001</v>
      </c>
      <c r="G27" s="588">
        <f t="shared" si="14"/>
        <v>37641.1875</v>
      </c>
      <c r="H27" s="588">
        <f t="shared" si="14"/>
        <v>26965.640625000004</v>
      </c>
      <c r="I27" s="588">
        <f t="shared" si="14"/>
        <v>38895.893750000003</v>
      </c>
      <c r="J27" s="588">
        <f t="shared" si="14"/>
        <v>39855.375</v>
      </c>
      <c r="K27" s="588">
        <f t="shared" si="14"/>
        <v>39702.862500000003</v>
      </c>
      <c r="L27" s="588">
        <f t="shared" si="14"/>
        <v>25366.6875</v>
      </c>
      <c r="M27" s="588">
        <f t="shared" si="14"/>
        <v>17974.11</v>
      </c>
      <c r="N27" s="658">
        <f t="shared" ref="N27:N38" si="15">SUM(B27:M27)</f>
        <v>338580.01537499996</v>
      </c>
      <c r="O27" s="595">
        <f t="shared" ref="O27:O39" si="16">N27/$N$25</f>
        <v>0.12247929413432983</v>
      </c>
    </row>
    <row r="28" spans="1:17" x14ac:dyDescent="0.2">
      <c r="A28" s="643" t="s">
        <v>38</v>
      </c>
      <c r="B28" s="588">
        <f t="shared" ref="B28:M28" si="17">$E$60</f>
        <v>16733.333333333332</v>
      </c>
      <c r="C28" s="588">
        <f t="shared" si="17"/>
        <v>16733.333333333332</v>
      </c>
      <c r="D28" s="588">
        <f t="shared" si="17"/>
        <v>16733.333333333332</v>
      </c>
      <c r="E28" s="588">
        <f t="shared" si="17"/>
        <v>16733.333333333332</v>
      </c>
      <c r="F28" s="588">
        <f t="shared" si="17"/>
        <v>16733.333333333332</v>
      </c>
      <c r="G28" s="588">
        <f t="shared" si="17"/>
        <v>16733.333333333332</v>
      </c>
      <c r="H28" s="588">
        <f t="shared" si="17"/>
        <v>16733.333333333332</v>
      </c>
      <c r="I28" s="588">
        <f t="shared" si="17"/>
        <v>16733.333333333332</v>
      </c>
      <c r="J28" s="588">
        <f t="shared" si="17"/>
        <v>16733.333333333332</v>
      </c>
      <c r="K28" s="588">
        <f t="shared" si="17"/>
        <v>16733.333333333332</v>
      </c>
      <c r="L28" s="588">
        <f t="shared" si="17"/>
        <v>16733.333333333332</v>
      </c>
      <c r="M28" s="588">
        <f t="shared" si="17"/>
        <v>16733.333333333332</v>
      </c>
      <c r="N28" s="658">
        <f>SUM(B28:M28)</f>
        <v>200800.00000000003</v>
      </c>
      <c r="O28" s="595">
        <f t="shared" si="16"/>
        <v>7.2638198196470966E-2</v>
      </c>
      <c r="P28" s="63"/>
      <c r="Q28" s="63"/>
    </row>
    <row r="29" spans="1:17" x14ac:dyDescent="0.2">
      <c r="A29" s="643" t="s">
        <v>39</v>
      </c>
      <c r="B29" s="588">
        <v>0</v>
      </c>
      <c r="C29" s="588">
        <v>0</v>
      </c>
      <c r="D29" s="588">
        <v>0</v>
      </c>
      <c r="E29" s="588">
        <v>2500</v>
      </c>
      <c r="F29" s="588">
        <v>2500</v>
      </c>
      <c r="G29" s="588">
        <v>4500</v>
      </c>
      <c r="H29" s="588">
        <v>4500</v>
      </c>
      <c r="I29" s="588">
        <v>4500</v>
      </c>
      <c r="J29" s="588">
        <v>4500</v>
      </c>
      <c r="K29" s="588">
        <v>4500</v>
      </c>
      <c r="L29" s="588">
        <v>2500</v>
      </c>
      <c r="M29" s="588">
        <v>0</v>
      </c>
      <c r="N29" s="658">
        <f>SUM(B29:M29)</f>
        <v>30000</v>
      </c>
      <c r="O29" s="595">
        <f t="shared" si="16"/>
        <v>1.0852320447679923E-2</v>
      </c>
    </row>
    <row r="30" spans="1:17" x14ac:dyDescent="0.2">
      <c r="A30" s="643" t="s">
        <v>40</v>
      </c>
      <c r="B30" s="588">
        <f t="shared" ref="B30:M30" si="18">$E$62</f>
        <v>15333.333333333334</v>
      </c>
      <c r="C30" s="588">
        <f t="shared" si="18"/>
        <v>15333.333333333334</v>
      </c>
      <c r="D30" s="588">
        <f t="shared" si="18"/>
        <v>15333.333333333334</v>
      </c>
      <c r="E30" s="588">
        <f t="shared" si="18"/>
        <v>15333.333333333334</v>
      </c>
      <c r="F30" s="588">
        <f t="shared" si="18"/>
        <v>15333.333333333334</v>
      </c>
      <c r="G30" s="588">
        <f t="shared" si="18"/>
        <v>15333.333333333334</v>
      </c>
      <c r="H30" s="588">
        <f t="shared" si="18"/>
        <v>15333.333333333334</v>
      </c>
      <c r="I30" s="588">
        <f t="shared" si="18"/>
        <v>15333.333333333334</v>
      </c>
      <c r="J30" s="588">
        <f t="shared" si="18"/>
        <v>15333.333333333334</v>
      </c>
      <c r="K30" s="588">
        <f t="shared" si="18"/>
        <v>15333.333333333334</v>
      </c>
      <c r="L30" s="588">
        <f t="shared" si="18"/>
        <v>15333.333333333334</v>
      </c>
      <c r="M30" s="588">
        <f t="shared" si="18"/>
        <v>15333.333333333334</v>
      </c>
      <c r="N30" s="658">
        <f t="shared" si="15"/>
        <v>184000.00000000003</v>
      </c>
      <c r="O30" s="595">
        <f t="shared" si="16"/>
        <v>6.6560898745770203E-2</v>
      </c>
    </row>
    <row r="31" spans="1:17" x14ac:dyDescent="0.2">
      <c r="A31" s="643" t="s">
        <v>41</v>
      </c>
      <c r="B31" s="588">
        <f t="shared" ref="B31:M31" si="19">$G$65*B25</f>
        <v>6206.2000000000007</v>
      </c>
      <c r="C31" s="588">
        <f t="shared" si="19"/>
        <v>7222.6</v>
      </c>
      <c r="D31" s="588">
        <f t="shared" si="19"/>
        <v>8115.800000000002</v>
      </c>
      <c r="E31" s="588">
        <f t="shared" si="19"/>
        <v>11550</v>
      </c>
      <c r="F31" s="588">
        <f t="shared" si="19"/>
        <v>12233.375</v>
      </c>
      <c r="G31" s="588">
        <f t="shared" si="19"/>
        <v>15618.75</v>
      </c>
      <c r="H31" s="588">
        <f t="shared" si="19"/>
        <v>11189.0625</v>
      </c>
      <c r="I31" s="588">
        <f t="shared" si="19"/>
        <v>16139.375</v>
      </c>
      <c r="J31" s="588">
        <f t="shared" si="19"/>
        <v>16537.5</v>
      </c>
      <c r="K31" s="588">
        <f t="shared" si="19"/>
        <v>16139.375</v>
      </c>
      <c r="L31" s="588">
        <f t="shared" si="19"/>
        <v>10106.25</v>
      </c>
      <c r="M31" s="588">
        <f t="shared" si="19"/>
        <v>7161</v>
      </c>
      <c r="N31" s="658">
        <f>SUM(B31:M31)</f>
        <v>138219.28750000001</v>
      </c>
      <c r="O31" s="595">
        <f t="shared" si="16"/>
        <v>0.05</v>
      </c>
    </row>
    <row r="32" spans="1:17" x14ac:dyDescent="0.2">
      <c r="A32" s="643" t="s">
        <v>42</v>
      </c>
      <c r="B32" s="588">
        <f t="shared" ref="B32:M32" si="20">$G$67*B10</f>
        <v>3385.2000000000003</v>
      </c>
      <c r="C32" s="588">
        <f t="shared" si="20"/>
        <v>3939.6000000000004</v>
      </c>
      <c r="D32" s="588">
        <f t="shared" si="20"/>
        <v>4426.8</v>
      </c>
      <c r="E32" s="588">
        <f t="shared" si="20"/>
        <v>5040</v>
      </c>
      <c r="F32" s="588">
        <f t="shared" si="20"/>
        <v>5338.2</v>
      </c>
      <c r="G32" s="588">
        <f t="shared" si="20"/>
        <v>5355</v>
      </c>
      <c r="H32" s="588">
        <f t="shared" si="20"/>
        <v>4882.5</v>
      </c>
      <c r="I32" s="588">
        <f t="shared" si="20"/>
        <v>5533.5</v>
      </c>
      <c r="J32" s="588">
        <f t="shared" si="20"/>
        <v>5670</v>
      </c>
      <c r="K32" s="588">
        <f t="shared" si="20"/>
        <v>5533.5</v>
      </c>
      <c r="L32" s="588">
        <f t="shared" si="20"/>
        <v>4410</v>
      </c>
      <c r="M32" s="588">
        <f t="shared" si="20"/>
        <v>3906</v>
      </c>
      <c r="N32" s="658">
        <f t="shared" si="15"/>
        <v>57420.3</v>
      </c>
      <c r="O32" s="595">
        <f t="shared" si="16"/>
        <v>2.0771449860063851E-2</v>
      </c>
    </row>
    <row r="33" spans="1:15" x14ac:dyDescent="0.2">
      <c r="A33" s="643" t="s">
        <v>43</v>
      </c>
      <c r="B33" s="588">
        <f t="shared" ref="B33:M33" si="21">$G$68</f>
        <v>311.66666666666669</v>
      </c>
      <c r="C33" s="588">
        <f t="shared" si="21"/>
        <v>311.66666666666669</v>
      </c>
      <c r="D33" s="588">
        <f t="shared" si="21"/>
        <v>311.66666666666669</v>
      </c>
      <c r="E33" s="588">
        <f t="shared" si="21"/>
        <v>311.66666666666669</v>
      </c>
      <c r="F33" s="588">
        <f t="shared" si="21"/>
        <v>311.66666666666669</v>
      </c>
      <c r="G33" s="588">
        <f t="shared" si="21"/>
        <v>311.66666666666669</v>
      </c>
      <c r="H33" s="588">
        <f t="shared" si="21"/>
        <v>311.66666666666669</v>
      </c>
      <c r="I33" s="588">
        <f t="shared" si="21"/>
        <v>311.66666666666669</v>
      </c>
      <c r="J33" s="588">
        <f t="shared" si="21"/>
        <v>311.66666666666669</v>
      </c>
      <c r="K33" s="588">
        <f t="shared" si="21"/>
        <v>311.66666666666669</v>
      </c>
      <c r="L33" s="588">
        <f t="shared" si="21"/>
        <v>311.66666666666669</v>
      </c>
      <c r="M33" s="588">
        <f t="shared" si="21"/>
        <v>311.66666666666669</v>
      </c>
      <c r="N33" s="658">
        <f t="shared" si="15"/>
        <v>3739.9999999999995</v>
      </c>
      <c r="O33" s="595">
        <f t="shared" si="16"/>
        <v>1.3529226158107636E-3</v>
      </c>
    </row>
    <row r="34" spans="1:15" x14ac:dyDescent="0.2">
      <c r="A34" s="643" t="s">
        <v>44</v>
      </c>
      <c r="B34" s="588">
        <f t="shared" ref="B34:M34" si="22">$G$69*B10</f>
        <v>14105.000000000002</v>
      </c>
      <c r="C34" s="588">
        <f t="shared" si="22"/>
        <v>16415</v>
      </c>
      <c r="D34" s="588">
        <f t="shared" si="22"/>
        <v>18445</v>
      </c>
      <c r="E34" s="588">
        <f t="shared" si="22"/>
        <v>21000</v>
      </c>
      <c r="F34" s="588">
        <f t="shared" si="22"/>
        <v>22242.5</v>
      </c>
      <c r="G34" s="588">
        <f t="shared" si="22"/>
        <v>22312.5</v>
      </c>
      <c r="H34" s="588">
        <f t="shared" si="22"/>
        <v>20343.75</v>
      </c>
      <c r="I34" s="588">
        <f t="shared" si="22"/>
        <v>23056.25</v>
      </c>
      <c r="J34" s="588">
        <f t="shared" si="22"/>
        <v>23625</v>
      </c>
      <c r="K34" s="588">
        <f t="shared" si="22"/>
        <v>23056.25</v>
      </c>
      <c r="L34" s="588">
        <f t="shared" si="22"/>
        <v>18375</v>
      </c>
      <c r="M34" s="588">
        <f t="shared" si="22"/>
        <v>16275</v>
      </c>
      <c r="N34" s="658">
        <f t="shared" si="15"/>
        <v>239251.25</v>
      </c>
      <c r="O34" s="595">
        <f t="shared" si="16"/>
        <v>8.6547707750266045E-2</v>
      </c>
    </row>
    <row r="35" spans="1:15" x14ac:dyDescent="0.2">
      <c r="A35" s="643" t="s">
        <v>344</v>
      </c>
      <c r="B35" s="588">
        <f>B10*$G$70</f>
        <v>1128.4000000000001</v>
      </c>
      <c r="C35" s="588">
        <f t="shared" ref="C35:M35" si="23">C10*$G$70</f>
        <v>1313.2</v>
      </c>
      <c r="D35" s="588">
        <f t="shared" si="23"/>
        <v>1475.6000000000001</v>
      </c>
      <c r="E35" s="588">
        <f t="shared" si="23"/>
        <v>1680</v>
      </c>
      <c r="F35" s="588">
        <f t="shared" si="23"/>
        <v>1779.3999999999999</v>
      </c>
      <c r="G35" s="588">
        <f t="shared" si="23"/>
        <v>1785</v>
      </c>
      <c r="H35" s="588">
        <f t="shared" si="23"/>
        <v>1627.5</v>
      </c>
      <c r="I35" s="588">
        <f t="shared" si="23"/>
        <v>1844.5</v>
      </c>
      <c r="J35" s="588">
        <f t="shared" si="23"/>
        <v>1890</v>
      </c>
      <c r="K35" s="588">
        <f t="shared" si="23"/>
        <v>1844.5</v>
      </c>
      <c r="L35" s="588">
        <f t="shared" si="23"/>
        <v>1470</v>
      </c>
      <c r="M35" s="588">
        <f t="shared" si="23"/>
        <v>1302</v>
      </c>
      <c r="N35" s="659">
        <f>SUM(B35:M35)</f>
        <v>19140.099999999999</v>
      </c>
      <c r="O35" s="676">
        <f>N35/N25</f>
        <v>6.9238166200212828E-3</v>
      </c>
    </row>
    <row r="36" spans="1:15" x14ac:dyDescent="0.2">
      <c r="A36" s="643" t="s">
        <v>45</v>
      </c>
      <c r="B36" s="588">
        <f t="shared" ref="B36:M36" si="24">$G$71*B10</f>
        <v>677.04000000000008</v>
      </c>
      <c r="C36" s="588">
        <f t="shared" si="24"/>
        <v>787.92</v>
      </c>
      <c r="D36" s="588">
        <f t="shared" si="24"/>
        <v>885.36</v>
      </c>
      <c r="E36" s="588">
        <f t="shared" si="24"/>
        <v>1008</v>
      </c>
      <c r="F36" s="588">
        <f t="shared" si="24"/>
        <v>1067.6399999999999</v>
      </c>
      <c r="G36" s="588">
        <f t="shared" si="24"/>
        <v>1071</v>
      </c>
      <c r="H36" s="588">
        <f t="shared" si="24"/>
        <v>976.5</v>
      </c>
      <c r="I36" s="588">
        <f t="shared" si="24"/>
        <v>1106.7</v>
      </c>
      <c r="J36" s="588">
        <f t="shared" si="24"/>
        <v>1134</v>
      </c>
      <c r="K36" s="588">
        <f t="shared" si="24"/>
        <v>1106.7</v>
      </c>
      <c r="L36" s="588">
        <f t="shared" si="24"/>
        <v>882</v>
      </c>
      <c r="M36" s="588">
        <f t="shared" si="24"/>
        <v>781.19999999999993</v>
      </c>
      <c r="N36" s="658">
        <f>SUM(B36:M36)</f>
        <v>11484.060000000001</v>
      </c>
      <c r="O36" s="595">
        <f t="shared" si="16"/>
        <v>4.15428997201277E-3</v>
      </c>
    </row>
    <row r="37" spans="1:15" x14ac:dyDescent="0.2">
      <c r="A37" s="643" t="s">
        <v>46</v>
      </c>
      <c r="B37" s="588">
        <f t="shared" ref="B37:M37" si="25">$G$72*B21</f>
        <v>11171.160000000002</v>
      </c>
      <c r="C37" s="588">
        <f t="shared" si="25"/>
        <v>13000.68</v>
      </c>
      <c r="D37" s="588">
        <f t="shared" si="25"/>
        <v>14608.440000000002</v>
      </c>
      <c r="E37" s="588">
        <f t="shared" si="25"/>
        <v>20790</v>
      </c>
      <c r="F37" s="588">
        <f t="shared" si="25"/>
        <v>22020.074999999997</v>
      </c>
      <c r="G37" s="588">
        <f t="shared" si="25"/>
        <v>28113.75</v>
      </c>
      <c r="H37" s="588">
        <f t="shared" si="25"/>
        <v>20140.3125</v>
      </c>
      <c r="I37" s="588">
        <f t="shared" si="25"/>
        <v>29050.875</v>
      </c>
      <c r="J37" s="588">
        <f t="shared" si="25"/>
        <v>29767.5</v>
      </c>
      <c r="K37" s="588">
        <f t="shared" si="25"/>
        <v>29050.875</v>
      </c>
      <c r="L37" s="588">
        <f t="shared" si="25"/>
        <v>18191.25</v>
      </c>
      <c r="M37" s="588">
        <f t="shared" si="25"/>
        <v>12889.8</v>
      </c>
      <c r="N37" s="658">
        <f t="shared" si="15"/>
        <v>248794.7175</v>
      </c>
      <c r="O37" s="595">
        <f t="shared" si="16"/>
        <v>0.09</v>
      </c>
    </row>
    <row r="38" spans="1:15" x14ac:dyDescent="0.2">
      <c r="A38" s="642" t="s">
        <v>47</v>
      </c>
      <c r="B38" s="588">
        <f t="shared" ref="B38:M38" si="26">SUM(B27:B37)</f>
        <v>84628.895333333334</v>
      </c>
      <c r="C38" s="588">
        <f t="shared" si="26"/>
        <v>93186.059333333309</v>
      </c>
      <c r="D38" s="588">
        <f t="shared" si="26"/>
        <v>100300.20133333335</v>
      </c>
      <c r="E38" s="588">
        <f t="shared" si="26"/>
        <v>124359.33333333334</v>
      </c>
      <c r="F38" s="588">
        <f t="shared" si="26"/>
        <v>129653.62583333332</v>
      </c>
      <c r="G38" s="588">
        <f t="shared" si="26"/>
        <v>148775.52083333331</v>
      </c>
      <c r="H38" s="588">
        <f t="shared" si="26"/>
        <v>123003.59895833334</v>
      </c>
      <c r="I38" s="588">
        <f t="shared" si="26"/>
        <v>152505.42708333331</v>
      </c>
      <c r="J38" s="588">
        <f t="shared" si="26"/>
        <v>155357.70833333331</v>
      </c>
      <c r="K38" s="588">
        <f t="shared" si="26"/>
        <v>153312.39583333331</v>
      </c>
      <c r="L38" s="588">
        <f t="shared" si="26"/>
        <v>113679.52083333333</v>
      </c>
      <c r="M38" s="588">
        <f t="shared" si="26"/>
        <v>92667.443333333329</v>
      </c>
      <c r="N38" s="658">
        <f t="shared" si="15"/>
        <v>1471429.7303749998</v>
      </c>
      <c r="O38" s="596">
        <f t="shared" si="16"/>
        <v>0.53228089834242553</v>
      </c>
    </row>
    <row r="39" spans="1:15" x14ac:dyDescent="0.2">
      <c r="A39" s="642" t="s">
        <v>48</v>
      </c>
      <c r="B39" s="588">
        <f t="shared" ref="B39:M39" si="27">B25-B38</f>
        <v>39495.104666666681</v>
      </c>
      <c r="C39" s="588">
        <f t="shared" si="27"/>
        <v>51265.940666666691</v>
      </c>
      <c r="D39" s="588">
        <f t="shared" si="27"/>
        <v>62015.798666666684</v>
      </c>
      <c r="E39" s="588">
        <f t="shared" si="27"/>
        <v>106640.66666666666</v>
      </c>
      <c r="F39" s="588">
        <f t="shared" si="27"/>
        <v>115013.87416666665</v>
      </c>
      <c r="G39" s="588">
        <f t="shared" si="27"/>
        <v>163599.47916666669</v>
      </c>
      <c r="H39" s="588">
        <f t="shared" si="27"/>
        <v>100777.65104166666</v>
      </c>
      <c r="I39" s="588">
        <f t="shared" si="27"/>
        <v>170282.07291666669</v>
      </c>
      <c r="J39" s="588">
        <f t="shared" si="27"/>
        <v>175392.29166666669</v>
      </c>
      <c r="K39" s="588">
        <f t="shared" si="27"/>
        <v>169475.10416666669</v>
      </c>
      <c r="L39" s="588">
        <f t="shared" si="27"/>
        <v>88445.479166666672</v>
      </c>
      <c r="M39" s="588">
        <f t="shared" si="27"/>
        <v>50552.556666666671</v>
      </c>
      <c r="N39" s="659">
        <f>SUM(B39:M39)</f>
        <v>1292956.0196250002</v>
      </c>
      <c r="O39" s="677">
        <f t="shared" si="16"/>
        <v>0.46771910165757447</v>
      </c>
    </row>
    <row r="40" spans="1:15" x14ac:dyDescent="0.2">
      <c r="A40" s="590"/>
      <c r="B40"/>
      <c r="C40"/>
      <c r="D40"/>
      <c r="E40"/>
      <c r="F40"/>
      <c r="G40"/>
      <c r="H40"/>
      <c r="I40"/>
      <c r="J40"/>
      <c r="K40"/>
      <c r="L40"/>
      <c r="M40"/>
    </row>
    <row r="41" spans="1:15" ht="15.75" thickBot="1" x14ac:dyDescent="0.25">
      <c r="A41" s="590"/>
      <c r="B41"/>
      <c r="C41"/>
      <c r="D41"/>
      <c r="E41"/>
      <c r="F41"/>
      <c r="G41"/>
      <c r="H41"/>
      <c r="I41"/>
      <c r="J41"/>
      <c r="K41"/>
      <c r="L41"/>
      <c r="M41"/>
    </row>
    <row r="42" spans="1:15" ht="15.75" thickBot="1" x14ac:dyDescent="0.25">
      <c r="A42" s="575" t="s">
        <v>49</v>
      </c>
      <c r="B42"/>
      <c r="C42"/>
      <c r="D42"/>
      <c r="E42"/>
      <c r="F42"/>
      <c r="G42"/>
      <c r="H42"/>
      <c r="I42"/>
      <c r="J42"/>
      <c r="K42"/>
      <c r="L42"/>
      <c r="M42"/>
    </row>
    <row r="43" spans="1:15" ht="17.100000000000001" customHeight="1" thickBot="1" x14ac:dyDescent="0.25">
      <c r="A43" s="740" t="s">
        <v>50</v>
      </c>
      <c r="B43" s="741"/>
      <c r="C43" s="671" t="s">
        <v>340</v>
      </c>
      <c r="D43" s="672" t="s">
        <v>51</v>
      </c>
      <c r="E43" s="672" t="s">
        <v>52</v>
      </c>
      <c r="F43" s="672" t="s">
        <v>53</v>
      </c>
      <c r="G43" s="672" t="s">
        <v>54</v>
      </c>
      <c r="H43" s="672" t="s">
        <v>55</v>
      </c>
      <c r="I43" s="673" t="s">
        <v>56</v>
      </c>
      <c r="J43"/>
      <c r="K43"/>
      <c r="L43"/>
      <c r="M43"/>
    </row>
    <row r="44" spans="1:15" ht="20.100000000000001" customHeight="1" thickBot="1" x14ac:dyDescent="0.25">
      <c r="A44" s="740" t="s">
        <v>57</v>
      </c>
      <c r="B44" s="741"/>
      <c r="C44" s="716">
        <v>0.2</v>
      </c>
      <c r="D44" s="597">
        <v>0.1</v>
      </c>
      <c r="E44" s="598">
        <v>0.1</v>
      </c>
      <c r="F44" s="597">
        <v>0.15</v>
      </c>
      <c r="G44" s="597">
        <v>0.1</v>
      </c>
      <c r="H44" s="597">
        <v>0.15</v>
      </c>
      <c r="I44" s="599">
        <v>0.05</v>
      </c>
      <c r="J44"/>
      <c r="K44"/>
      <c r="L44"/>
      <c r="M44"/>
    </row>
    <row r="45" spans="1:15" x14ac:dyDescent="0.2">
      <c r="A45" s="738" t="s">
        <v>58</v>
      </c>
      <c r="B45" s="600" t="s">
        <v>59</v>
      </c>
      <c r="C45" s="601">
        <v>0.22</v>
      </c>
      <c r="D45" s="602">
        <v>0.09</v>
      </c>
      <c r="E45" s="602">
        <v>0.2</v>
      </c>
      <c r="F45" s="602">
        <v>0.13</v>
      </c>
      <c r="G45" s="602">
        <v>0.1</v>
      </c>
      <c r="H45" s="602">
        <v>0.05</v>
      </c>
      <c r="I45" s="603">
        <v>0.21</v>
      </c>
      <c r="J45">
        <f>SUMPRODUCT(C44:I44,C45:I45)</f>
        <v>0.12050000000000001</v>
      </c>
      <c r="K45"/>
      <c r="L45"/>
      <c r="M45"/>
    </row>
    <row r="46" spans="1:15" x14ac:dyDescent="0.2">
      <c r="A46" s="742"/>
      <c r="B46" s="604" t="s">
        <v>60</v>
      </c>
      <c r="C46" s="605">
        <v>0.28000000000000003</v>
      </c>
      <c r="D46" s="606">
        <v>0.09</v>
      </c>
      <c r="E46" s="606">
        <v>0.19</v>
      </c>
      <c r="F46" s="606">
        <v>0.1</v>
      </c>
      <c r="G46" s="606">
        <v>0.1</v>
      </c>
      <c r="H46" s="606">
        <v>0.02</v>
      </c>
      <c r="I46" s="607">
        <v>0.22</v>
      </c>
      <c r="J46">
        <f>SUMPRODUCT(C44:I44,C46:I46)</f>
        <v>0.12300000000000001</v>
      </c>
      <c r="K46"/>
      <c r="L46"/>
      <c r="M46"/>
    </row>
    <row r="47" spans="1:15" ht="15.75" thickBot="1" x14ac:dyDescent="0.25">
      <c r="A47" s="739"/>
      <c r="B47" s="608" t="s">
        <v>61</v>
      </c>
      <c r="C47" s="609">
        <v>0.26</v>
      </c>
      <c r="D47" s="610">
        <v>0.12</v>
      </c>
      <c r="E47" s="610">
        <v>0.32</v>
      </c>
      <c r="F47" s="610">
        <v>0.11</v>
      </c>
      <c r="G47" s="610">
        <v>0.03</v>
      </c>
      <c r="H47" s="610">
        <v>0.02</v>
      </c>
      <c r="I47" s="611">
        <v>0.14000000000000001</v>
      </c>
      <c r="J47">
        <f>SUMPRODUCT(C44:I44,C47:I47)</f>
        <v>0.1255</v>
      </c>
      <c r="K47"/>
      <c r="L47"/>
      <c r="M47"/>
    </row>
    <row r="48" spans="1:15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.75" thickBo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2">
      <c r="A50" s="612" t="s">
        <v>28</v>
      </c>
      <c r="B50" s="600" t="s">
        <v>59</v>
      </c>
      <c r="C50" s="613">
        <v>600</v>
      </c>
      <c r="D50">
        <f>G3+H3+I3+J3+K3</f>
        <v>153</v>
      </c>
      <c r="E50">
        <f>D50/D53</f>
        <v>0.41917808219178082</v>
      </c>
      <c r="F50" s="612" t="s">
        <v>62</v>
      </c>
      <c r="G50" s="600" t="s">
        <v>59</v>
      </c>
      <c r="H50" s="613">
        <v>350</v>
      </c>
      <c r="I50" s="674">
        <f>I21/I10</f>
        <v>350</v>
      </c>
      <c r="J50"/>
      <c r="K50"/>
      <c r="L50"/>
      <c r="M50"/>
    </row>
    <row r="51" spans="1:13" x14ac:dyDescent="0.2">
      <c r="A51" s="614"/>
      <c r="B51" s="604" t="s">
        <v>60</v>
      </c>
      <c r="C51" s="615">
        <f>275*2</f>
        <v>550</v>
      </c>
      <c r="D51">
        <f>L3+E3+F3</f>
        <v>91</v>
      </c>
      <c r="E51">
        <f>D51/D53</f>
        <v>0.24931506849315069</v>
      </c>
      <c r="F51" s="614"/>
      <c r="G51" s="604" t="s">
        <v>60</v>
      </c>
      <c r="H51" s="615">
        <v>275</v>
      </c>
      <c r="I51" s="674">
        <f>F21/F10</f>
        <v>275</v>
      </c>
      <c r="J51"/>
      <c r="K51"/>
      <c r="L51"/>
      <c r="M51"/>
    </row>
    <row r="52" spans="1:13" ht="15.75" thickBot="1" x14ac:dyDescent="0.25">
      <c r="A52" s="616"/>
      <c r="B52" s="608" t="s">
        <v>61</v>
      </c>
      <c r="C52" s="617">
        <v>440</v>
      </c>
      <c r="D52">
        <f>B3+C3+D3+M3</f>
        <v>121</v>
      </c>
      <c r="E52">
        <f>D52/D53</f>
        <v>0.33150684931506852</v>
      </c>
      <c r="F52" s="616"/>
      <c r="G52" s="608" t="s">
        <v>61</v>
      </c>
      <c r="H52" s="617">
        <v>220</v>
      </c>
      <c r="I52" s="674">
        <f>M21/M10</f>
        <v>220</v>
      </c>
      <c r="J52"/>
      <c r="K52"/>
      <c r="L52"/>
      <c r="M52"/>
    </row>
    <row r="53" spans="1:13" ht="15.75" thickBot="1" x14ac:dyDescent="0.25">
      <c r="A53" s="573"/>
      <c r="B53" s="573"/>
      <c r="C53" s="618">
        <f>SUMPRODUCT(C50:C52,E50:E52)</f>
        <v>534.49315068493149</v>
      </c>
      <c r="D53">
        <f>SUM(D50:D52)</f>
        <v>365</v>
      </c>
      <c r="E53"/>
      <c r="F53"/>
      <c r="G53"/>
      <c r="H53" s="619">
        <f>N13</f>
        <v>288.85802582013679</v>
      </c>
      <c r="I53" s="573"/>
      <c r="J53"/>
      <c r="K53"/>
      <c r="L53"/>
      <c r="M53"/>
    </row>
    <row r="54" spans="1:13" ht="15.75" thickBot="1" x14ac:dyDescent="0.25">
      <c r="A54"/>
      <c r="B54"/>
      <c r="C54"/>
      <c r="D54"/>
      <c r="E54"/>
      <c r="F54"/>
      <c r="G54"/>
      <c r="H54" s="573"/>
      <c r="I54" s="573"/>
      <c r="J54"/>
      <c r="K54"/>
      <c r="L54"/>
      <c r="M54"/>
    </row>
    <row r="55" spans="1:13" ht="15.75" thickBot="1" x14ac:dyDescent="0.25">
      <c r="A55" s="620" t="s">
        <v>63</v>
      </c>
      <c r="B55" s="621"/>
      <c r="C55" s="738" t="s">
        <v>64</v>
      </c>
      <c r="D55"/>
      <c r="E55"/>
      <c r="F55"/>
      <c r="G55"/>
      <c r="H55"/>
      <c r="I55"/>
      <c r="J55"/>
      <c r="K55"/>
      <c r="L55"/>
      <c r="M55"/>
    </row>
    <row r="56" spans="1:13" ht="15.75" thickBot="1" x14ac:dyDescent="0.25">
      <c r="A56" s="612" t="s">
        <v>65</v>
      </c>
      <c r="B56" s="622" t="s">
        <v>66</v>
      </c>
      <c r="C56" s="739"/>
      <c r="D56" t="s">
        <v>67</v>
      </c>
      <c r="E56" t="s">
        <v>68</v>
      </c>
      <c r="F56"/>
      <c r="G56"/>
      <c r="H56"/>
      <c r="I56"/>
      <c r="J56"/>
      <c r="K56"/>
      <c r="L56"/>
      <c r="M56"/>
    </row>
    <row r="57" spans="1:13" x14ac:dyDescent="0.2">
      <c r="A57" s="660" t="s">
        <v>69</v>
      </c>
      <c r="B57" s="624">
        <v>1</v>
      </c>
      <c r="C57" s="625">
        <v>32000</v>
      </c>
      <c r="D57"/>
      <c r="E57"/>
      <c r="F57"/>
      <c r="G57"/>
      <c r="H57"/>
      <c r="I57"/>
      <c r="J57"/>
      <c r="K57"/>
      <c r="L57"/>
      <c r="M57"/>
    </row>
    <row r="58" spans="1:13" x14ac:dyDescent="0.2">
      <c r="A58" s="661" t="s">
        <v>70</v>
      </c>
      <c r="B58" s="92">
        <v>4</v>
      </c>
      <c r="C58" s="626">
        <v>20000</v>
      </c>
      <c r="D58"/>
      <c r="E58"/>
      <c r="F58"/>
      <c r="G58"/>
      <c r="H58"/>
      <c r="I58"/>
      <c r="J58"/>
      <c r="K58"/>
      <c r="L58"/>
      <c r="M58"/>
    </row>
    <row r="59" spans="1:13" x14ac:dyDescent="0.2">
      <c r="A59" s="661" t="s">
        <v>71</v>
      </c>
      <c r="B59" s="627">
        <v>2</v>
      </c>
      <c r="C59" s="626">
        <v>18000</v>
      </c>
      <c r="D59"/>
      <c r="E59"/>
      <c r="F59"/>
      <c r="G59"/>
      <c r="H59"/>
      <c r="I59"/>
      <c r="J59"/>
      <c r="K59"/>
      <c r="L59"/>
      <c r="M59"/>
    </row>
    <row r="60" spans="1:13" x14ac:dyDescent="0.2">
      <c r="A60" s="661" t="s">
        <v>72</v>
      </c>
      <c r="B60" s="92">
        <v>2</v>
      </c>
      <c r="C60" s="626">
        <v>26400</v>
      </c>
      <c r="D60" s="715">
        <f>B57*C57+B58*C58+B59*C59+B60*C60</f>
        <v>200800</v>
      </c>
      <c r="E60">
        <f>D60/12</f>
        <v>16733.333333333332</v>
      </c>
      <c r="F60"/>
      <c r="G60"/>
      <c r="H60"/>
      <c r="I60"/>
      <c r="J60"/>
      <c r="K60"/>
      <c r="L60"/>
      <c r="M60"/>
    </row>
    <row r="61" spans="1:13" x14ac:dyDescent="0.2">
      <c r="A61" s="661" t="s">
        <v>302</v>
      </c>
      <c r="B61" s="92">
        <v>1</v>
      </c>
      <c r="C61" s="626">
        <v>40000</v>
      </c>
      <c r="D61"/>
      <c r="E61"/>
      <c r="F61"/>
      <c r="G61"/>
      <c r="H61"/>
      <c r="I61"/>
      <c r="J61"/>
      <c r="K61"/>
      <c r="L61"/>
      <c r="M61"/>
    </row>
    <row r="62" spans="1:13" ht="15.75" thickBot="1" x14ac:dyDescent="0.25">
      <c r="A62" s="662" t="s">
        <v>73</v>
      </c>
      <c r="B62" s="413">
        <v>6</v>
      </c>
      <c r="C62" s="63">
        <v>19000</v>
      </c>
      <c r="D62" s="715">
        <f>B61*C61+B62*C62+B63*C63</f>
        <v>184000</v>
      </c>
      <c r="E62">
        <f>D62/12</f>
        <v>15333.333333333334</v>
      </c>
      <c r="F62"/>
      <c r="G62"/>
      <c r="H62"/>
      <c r="I62"/>
      <c r="J62"/>
      <c r="K62"/>
      <c r="L62"/>
      <c r="M62"/>
    </row>
    <row r="63" spans="1:13" x14ac:dyDescent="0.2">
      <c r="A63" s="661" t="s">
        <v>389</v>
      </c>
      <c r="B63" s="413">
        <v>1</v>
      </c>
      <c r="C63" s="735">
        <v>30000</v>
      </c>
      <c r="D63"/>
      <c r="E63"/>
      <c r="F63"/>
      <c r="G63"/>
      <c r="H63" t="s">
        <v>74</v>
      </c>
      <c r="I63" t="s">
        <v>75</v>
      </c>
      <c r="J63" t="s">
        <v>76</v>
      </c>
      <c r="K63"/>
      <c r="L63"/>
      <c r="M63"/>
    </row>
    <row r="64" spans="1:13" ht="15.75" thickBo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x14ac:dyDescent="0.2">
      <c r="A65" s="663" t="s">
        <v>77</v>
      </c>
      <c r="B65" s="623" t="s">
        <v>345</v>
      </c>
      <c r="C65" s="628"/>
      <c r="D65" s="628"/>
      <c r="E65" s="628"/>
      <c r="F65" s="629"/>
      <c r="G65" s="675">
        <v>0.05</v>
      </c>
      <c r="H65"/>
      <c r="I65"/>
      <c r="J65"/>
      <c r="K65"/>
      <c r="L65"/>
      <c r="M65"/>
    </row>
    <row r="66" spans="1:14" x14ac:dyDescent="0.2">
      <c r="A66" s="664" t="s">
        <v>78</v>
      </c>
      <c r="B66" s="91" t="s">
        <v>376</v>
      </c>
      <c r="C66" s="630"/>
      <c r="D66" s="630"/>
      <c r="E66" s="630"/>
      <c r="F66" s="631"/>
      <c r="G66"/>
      <c r="H66">
        <v>3500</v>
      </c>
      <c r="I66">
        <v>1500</v>
      </c>
      <c r="J66">
        <v>0</v>
      </c>
      <c r="K66"/>
      <c r="L66"/>
      <c r="M66"/>
    </row>
    <row r="67" spans="1:14" x14ac:dyDescent="0.2">
      <c r="A67" s="665" t="s">
        <v>79</v>
      </c>
      <c r="B67" s="91" t="s">
        <v>374</v>
      </c>
      <c r="C67" s="573"/>
      <c r="D67" s="573"/>
      <c r="E67" s="573"/>
      <c r="F67" s="632"/>
      <c r="G67">
        <v>6</v>
      </c>
      <c r="H67"/>
      <c r="I67"/>
      <c r="J67"/>
      <c r="K67"/>
      <c r="L67"/>
      <c r="M67"/>
    </row>
    <row r="68" spans="1:14" x14ac:dyDescent="0.2">
      <c r="A68" s="665" t="s">
        <v>43</v>
      </c>
      <c r="B68" s="91" t="s">
        <v>390</v>
      </c>
      <c r="C68" s="573"/>
      <c r="D68" s="573"/>
      <c r="E68" s="573"/>
      <c r="F68" s="632"/>
      <c r="G68">
        <f>220*17/12</f>
        <v>311.66666666666669</v>
      </c>
      <c r="H68"/>
      <c r="I68"/>
      <c r="J68"/>
      <c r="K68"/>
      <c r="L68"/>
      <c r="M68"/>
    </row>
    <row r="69" spans="1:14" x14ac:dyDescent="0.2">
      <c r="A69" s="665" t="s">
        <v>44</v>
      </c>
      <c r="B69" s="91" t="s">
        <v>373</v>
      </c>
      <c r="C69" s="573"/>
      <c r="D69" s="573"/>
      <c r="E69" s="573"/>
      <c r="F69" s="632"/>
      <c r="G69">
        <v>25</v>
      </c>
      <c r="H69"/>
      <c r="I69"/>
      <c r="J69"/>
      <c r="K69"/>
      <c r="L69"/>
      <c r="M69"/>
    </row>
    <row r="70" spans="1:14" x14ac:dyDescent="0.2">
      <c r="A70" s="665" t="s">
        <v>122</v>
      </c>
      <c r="B70" s="91" t="s">
        <v>341</v>
      </c>
      <c r="C70" s="573"/>
      <c r="D70" s="573"/>
      <c r="E70" s="573"/>
      <c r="F70" s="632"/>
      <c r="G70">
        <v>2</v>
      </c>
      <c r="H70"/>
      <c r="I70"/>
      <c r="J70"/>
      <c r="K70"/>
      <c r="L70"/>
      <c r="M70"/>
    </row>
    <row r="71" spans="1:14" x14ac:dyDescent="0.2">
      <c r="A71" s="665" t="s">
        <v>80</v>
      </c>
      <c r="B71" s="91" t="s">
        <v>342</v>
      </c>
      <c r="C71" s="573"/>
      <c r="D71" s="573"/>
      <c r="E71" s="573"/>
      <c r="F71" s="632"/>
      <c r="G71">
        <v>1.2</v>
      </c>
      <c r="H71"/>
      <c r="I71"/>
      <c r="J71"/>
      <c r="K71"/>
      <c r="L71"/>
      <c r="M71"/>
    </row>
    <row r="72" spans="1:14" ht="15.75" thickBot="1" x14ac:dyDescent="0.25">
      <c r="A72" s="666" t="s">
        <v>46</v>
      </c>
      <c r="B72" s="633" t="s">
        <v>343</v>
      </c>
      <c r="C72" s="634"/>
      <c r="D72" s="635"/>
      <c r="E72" s="634"/>
      <c r="F72" s="636"/>
      <c r="G72" s="675">
        <v>0.09</v>
      </c>
      <c r="H72"/>
      <c r="I72"/>
      <c r="J72"/>
      <c r="K72"/>
      <c r="L72"/>
      <c r="M72"/>
    </row>
    <row r="73" spans="1:14" x14ac:dyDescent="0.2">
      <c r="A73" s="590"/>
      <c r="B73" s="590"/>
      <c r="C73" s="590"/>
      <c r="D73" s="590"/>
      <c r="E73" s="590"/>
      <c r="F73" s="590"/>
      <c r="G73"/>
      <c r="H73"/>
      <c r="I73"/>
      <c r="J73"/>
      <c r="K73"/>
      <c r="L73"/>
      <c r="M73"/>
    </row>
    <row r="74" spans="1:14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"/>
    </row>
    <row r="75" spans="1:14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"/>
    </row>
    <row r="76" spans="1:14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"/>
    </row>
    <row r="77" spans="1:14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"/>
    </row>
    <row r="78" spans="1:14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1"/>
    </row>
    <row r="79" spans="1:14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1"/>
    </row>
    <row r="80" spans="1:14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1"/>
    </row>
    <row r="81" spans="1:14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"/>
    </row>
    <row r="82" spans="1:14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1"/>
    </row>
    <row r="83" spans="1:14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"/>
    </row>
    <row r="84" spans="1:14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"/>
    </row>
    <row r="85" spans="1:14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"/>
    </row>
    <row r="86" spans="1:14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"/>
    </row>
    <row r="87" spans="1:14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"/>
    </row>
    <row r="88" spans="1:14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1"/>
    </row>
    <row r="89" spans="1:14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1"/>
    </row>
    <row r="90" spans="1:14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1"/>
    </row>
    <row r="91" spans="1:14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1"/>
    </row>
    <row r="92" spans="1:14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1"/>
    </row>
    <row r="93" spans="1:14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1"/>
    </row>
    <row r="94" spans="1:14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1"/>
    </row>
    <row r="95" spans="1:14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1"/>
    </row>
    <row r="96" spans="1:14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"/>
    </row>
    <row r="97" spans="1:14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1"/>
    </row>
    <row r="98" spans="1:1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"/>
    </row>
    <row r="99" spans="1:1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1"/>
    </row>
    <row r="100" spans="1:14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1"/>
    </row>
    <row r="101" spans="1:14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1"/>
    </row>
  </sheetData>
  <mergeCells count="4">
    <mergeCell ref="C55:C56"/>
    <mergeCell ref="A43:B43"/>
    <mergeCell ref="A44:B44"/>
    <mergeCell ref="A45:A4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9E9C-928D-43F1-A8E7-EDEFC00DC453}">
  <dimension ref="A1:U69"/>
  <sheetViews>
    <sheetView topLeftCell="A50" zoomScale="83" zoomScaleNormal="80" workbookViewId="0">
      <pane xSplit="1" topLeftCell="M50" activePane="topRight" state="frozen"/>
      <selection activeCell="A50" sqref="A50"/>
      <selection pane="topRight" activeCell="O55" sqref="O55"/>
    </sheetView>
  </sheetViews>
  <sheetFormatPr defaultColWidth="8.875" defaultRowHeight="15" x14ac:dyDescent="0.2"/>
  <cols>
    <col min="1" max="1" width="25.55859375" style="2" customWidth="1"/>
    <col min="2" max="2" width="15.46875" style="4" customWidth="1"/>
    <col min="3" max="3" width="15.33203125" style="4" customWidth="1"/>
    <col min="4" max="4" width="16.6796875" style="4" customWidth="1"/>
    <col min="5" max="5" width="14.52734375" style="2" customWidth="1"/>
    <col min="6" max="6" width="16.6796875" style="2" customWidth="1"/>
    <col min="7" max="7" width="17.484375" style="2" customWidth="1"/>
    <col min="8" max="8" width="17.75390625" style="2" customWidth="1"/>
    <col min="9" max="9" width="19.7734375" style="2" customWidth="1"/>
    <col min="10" max="10" width="15.33203125" style="2" customWidth="1"/>
    <col min="11" max="11" width="16.94921875" style="2" customWidth="1"/>
    <col min="12" max="12" width="14.125" style="2" customWidth="1"/>
    <col min="13" max="13" width="15.6015625" style="2" customWidth="1"/>
    <col min="14" max="14" width="22.734375" style="2" customWidth="1"/>
    <col min="15" max="15" width="13.5859375" style="2" customWidth="1"/>
    <col min="16" max="16" width="19.50390625" style="2" customWidth="1"/>
    <col min="17" max="17" width="14.390625" style="2" customWidth="1"/>
    <col min="18" max="18" width="13.44921875" bestFit="1" customWidth="1"/>
    <col min="19" max="19" width="12.5078125" bestFit="1" customWidth="1"/>
    <col min="21" max="21" width="9.81640625" bestFit="1" customWidth="1"/>
    <col min="24" max="24" width="11.56640625" bestFit="1" customWidth="1"/>
  </cols>
  <sheetData>
    <row r="1" spans="1:15" ht="15.75" thickBot="1" x14ac:dyDescent="0.25">
      <c r="A1" s="13"/>
      <c r="B1" s="5"/>
    </row>
    <row r="2" spans="1:15" ht="15.75" thickBot="1" x14ac:dyDescent="0.25">
      <c r="B2" s="679" t="s">
        <v>16</v>
      </c>
      <c r="C2" s="680" t="s">
        <v>16</v>
      </c>
      <c r="D2" s="680" t="s">
        <v>16</v>
      </c>
      <c r="E2" s="680" t="s">
        <v>17</v>
      </c>
      <c r="F2" s="680" t="s">
        <v>17</v>
      </c>
      <c r="G2" s="680" t="s">
        <v>18</v>
      </c>
      <c r="H2" s="680" t="s">
        <v>17</v>
      </c>
      <c r="I2" s="680" t="s">
        <v>18</v>
      </c>
      <c r="J2" s="680" t="s">
        <v>18</v>
      </c>
      <c r="K2" s="680" t="s">
        <v>18</v>
      </c>
      <c r="L2" s="680" t="s">
        <v>17</v>
      </c>
      <c r="M2" s="681" t="s">
        <v>16</v>
      </c>
    </row>
    <row r="3" spans="1:15" ht="15.75" thickBot="1" x14ac:dyDescent="0.25">
      <c r="A3" s="690"/>
      <c r="B3" s="532">
        <v>31</v>
      </c>
      <c r="C3" s="533">
        <v>28</v>
      </c>
      <c r="D3" s="533">
        <v>31</v>
      </c>
      <c r="E3" s="533">
        <v>30</v>
      </c>
      <c r="F3" s="533">
        <v>31</v>
      </c>
      <c r="G3" s="533">
        <v>30</v>
      </c>
      <c r="H3" s="533">
        <v>31</v>
      </c>
      <c r="I3" s="533">
        <v>31</v>
      </c>
      <c r="J3" s="533">
        <v>30</v>
      </c>
      <c r="K3" s="533">
        <v>31</v>
      </c>
      <c r="L3" s="533">
        <v>30</v>
      </c>
      <c r="M3" s="534">
        <v>31</v>
      </c>
      <c r="N3" s="535">
        <f>SUM(B3:M3)</f>
        <v>365</v>
      </c>
    </row>
    <row r="4" spans="1:15" ht="15.75" thickBot="1" x14ac:dyDescent="0.25">
      <c r="A4" s="56"/>
      <c r="B4" s="51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44" t="s">
        <v>81</v>
      </c>
      <c r="O4" s="18" t="s">
        <v>34</v>
      </c>
    </row>
    <row r="5" spans="1:15" x14ac:dyDescent="0.2">
      <c r="A5" s="529" t="s">
        <v>82</v>
      </c>
      <c r="B5" s="23">
        <f>'Rooms Division Income Statement'!B17</f>
        <v>1083.2640000000001</v>
      </c>
      <c r="C5" s="23">
        <f>'Rooms Division Income Statement'!C17</f>
        <v>1260.672</v>
      </c>
      <c r="D5" s="23">
        <f>'Rooms Division Income Statement'!D17</f>
        <v>1438.71</v>
      </c>
      <c r="E5" s="23">
        <f>'Rooms Division Income Statement'!E17</f>
        <v>1638</v>
      </c>
      <c r="F5" s="23">
        <f>'Rooms Division Income Statement'!F17</f>
        <v>1752.7089999999998</v>
      </c>
      <c r="G5" s="23">
        <f>'Rooms Division Income Statement'!G17</f>
        <v>1785</v>
      </c>
      <c r="H5" s="23">
        <f>'Rooms Division Income Statement'!H17</f>
        <v>1627.5</v>
      </c>
      <c r="I5" s="23">
        <f>'Rooms Division Income Statement'!I17</f>
        <v>1844.5</v>
      </c>
      <c r="J5" s="23">
        <f>'Rooms Division Income Statement'!J17</f>
        <v>1861.6499999999999</v>
      </c>
      <c r="K5" s="23">
        <f>'Rooms Division Income Statement'!K17</f>
        <v>1798.3875</v>
      </c>
      <c r="L5" s="23">
        <f>'Rooms Division Income Statement'!L17</f>
        <v>1411.2</v>
      </c>
      <c r="M5" s="31">
        <f>'Rooms Division Income Statement'!M17</f>
        <v>1249.9199999999998</v>
      </c>
      <c r="N5" s="45">
        <f>SUM(B5:M5)</f>
        <v>18751.512499999997</v>
      </c>
      <c r="O5" s="36">
        <f>N5/$N$5</f>
        <v>1</v>
      </c>
    </row>
    <row r="6" spans="1:15" x14ac:dyDescent="0.2">
      <c r="A6" s="530" t="s">
        <v>83</v>
      </c>
      <c r="B6" s="23">
        <f t="shared" ref="B6:M6" si="0">B5*B45</f>
        <v>964.10496000000012</v>
      </c>
      <c r="C6" s="23">
        <f t="shared" si="0"/>
        <v>1134.6048000000001</v>
      </c>
      <c r="D6" s="23">
        <f t="shared" si="0"/>
        <v>1309.2261000000001</v>
      </c>
      <c r="E6" s="23">
        <f t="shared" si="0"/>
        <v>1556.1</v>
      </c>
      <c r="F6" s="23">
        <f t="shared" si="0"/>
        <v>1665.0735499999998</v>
      </c>
      <c r="G6" s="23">
        <f t="shared" si="0"/>
        <v>1695.75</v>
      </c>
      <c r="H6" s="23">
        <f t="shared" si="0"/>
        <v>1546.125</v>
      </c>
      <c r="I6" s="23">
        <f t="shared" si="0"/>
        <v>1715.385</v>
      </c>
      <c r="J6" s="23">
        <f t="shared" si="0"/>
        <v>1731.3344999999999</v>
      </c>
      <c r="K6" s="23">
        <f t="shared" si="0"/>
        <v>1618.5487500000002</v>
      </c>
      <c r="L6" s="23">
        <f t="shared" si="0"/>
        <v>1128.96</v>
      </c>
      <c r="M6" s="31">
        <f t="shared" si="0"/>
        <v>937.43999999999983</v>
      </c>
      <c r="N6" s="45">
        <f>SUM(B6:M6)</f>
        <v>17002.65266</v>
      </c>
      <c r="O6" s="36">
        <f>N6/$N$5</f>
        <v>0.90673499857678164</v>
      </c>
    </row>
    <row r="7" spans="1:15" x14ac:dyDescent="0.2">
      <c r="A7" s="530" t="s">
        <v>84</v>
      </c>
      <c r="B7" s="23">
        <f t="shared" ref="B7:M7" si="1">B5*B54</f>
        <v>595.79520000000014</v>
      </c>
      <c r="C7" s="23">
        <f t="shared" si="1"/>
        <v>693.3696000000001</v>
      </c>
      <c r="D7" s="23">
        <f t="shared" si="1"/>
        <v>820.0646999999999</v>
      </c>
      <c r="E7" s="23">
        <f t="shared" si="1"/>
        <v>982.8</v>
      </c>
      <c r="F7" s="23">
        <f t="shared" si="1"/>
        <v>1051.6253999999999</v>
      </c>
      <c r="G7" s="23">
        <f t="shared" si="1"/>
        <v>1160.25</v>
      </c>
      <c r="H7" s="23">
        <f t="shared" si="1"/>
        <v>1057.875</v>
      </c>
      <c r="I7" s="23">
        <f t="shared" si="1"/>
        <v>1198.925</v>
      </c>
      <c r="J7" s="23">
        <f t="shared" si="1"/>
        <v>1228.6890000000001</v>
      </c>
      <c r="K7" s="23">
        <f t="shared" si="1"/>
        <v>1186.9357500000001</v>
      </c>
      <c r="L7" s="23">
        <f t="shared" si="1"/>
        <v>973.72799999999995</v>
      </c>
      <c r="M7" s="31">
        <f t="shared" si="1"/>
        <v>624.95999999999992</v>
      </c>
      <c r="N7" s="45">
        <f t="shared" ref="N7:N24" si="2">SUM(B7:M7)</f>
        <v>11575.01765</v>
      </c>
      <c r="O7" s="36">
        <f>N7/$N$5</f>
        <v>0.61728448038524897</v>
      </c>
    </row>
    <row r="8" spans="1:15" ht="15.75" thickBot="1" x14ac:dyDescent="0.25">
      <c r="A8" s="531" t="s">
        <v>85</v>
      </c>
      <c r="B8" s="23">
        <f t="shared" ref="B8:M8" si="3">B5*B63</f>
        <v>541.63200000000006</v>
      </c>
      <c r="C8" s="23">
        <f t="shared" si="3"/>
        <v>693.3696000000001</v>
      </c>
      <c r="D8" s="23">
        <f t="shared" si="3"/>
        <v>805.6776000000001</v>
      </c>
      <c r="E8" s="23">
        <f t="shared" si="3"/>
        <v>982.8</v>
      </c>
      <c r="F8" s="23">
        <f t="shared" si="3"/>
        <v>1139.2608499999999</v>
      </c>
      <c r="G8" s="23">
        <f t="shared" si="3"/>
        <v>1249.5</v>
      </c>
      <c r="H8" s="23">
        <f t="shared" si="3"/>
        <v>1139.25</v>
      </c>
      <c r="I8" s="23">
        <f t="shared" si="3"/>
        <v>1291.1499999999999</v>
      </c>
      <c r="J8" s="23">
        <f t="shared" si="3"/>
        <v>1340.3879999999999</v>
      </c>
      <c r="K8" s="23">
        <f t="shared" si="3"/>
        <v>1240.887375</v>
      </c>
      <c r="L8" s="23">
        <f t="shared" si="3"/>
        <v>776.16000000000008</v>
      </c>
      <c r="M8" s="31">
        <f t="shared" si="3"/>
        <v>549.96479999999997</v>
      </c>
      <c r="N8" s="45">
        <f>SUM(B8:M8)</f>
        <v>11750.040224999999</v>
      </c>
      <c r="O8" s="36">
        <f>N8/$N$5</f>
        <v>0.62661826479330673</v>
      </c>
    </row>
    <row r="9" spans="1:15" x14ac:dyDescent="0.2">
      <c r="A9" s="678" t="str">
        <f>+A44</f>
        <v>BREAKFAST</v>
      </c>
      <c r="B9" s="52"/>
      <c r="C9" s="19"/>
      <c r="D9" s="19"/>
      <c r="E9" s="19"/>
      <c r="F9" s="19"/>
      <c r="G9" s="19"/>
      <c r="H9" s="19"/>
      <c r="I9" s="19"/>
      <c r="J9" s="19"/>
      <c r="K9" s="19"/>
      <c r="L9" s="19"/>
      <c r="M9" s="32"/>
      <c r="N9" s="46"/>
      <c r="O9" s="37"/>
    </row>
    <row r="10" spans="1:15" x14ac:dyDescent="0.2">
      <c r="A10" s="688" t="s">
        <v>86</v>
      </c>
      <c r="B10" s="21">
        <f t="shared" ref="B10:M10" si="4">B6*B46</f>
        <v>24102.624000000003</v>
      </c>
      <c r="C10" s="21">
        <f t="shared" si="4"/>
        <v>28365.120000000003</v>
      </c>
      <c r="D10" s="21">
        <f t="shared" si="4"/>
        <v>32730.652500000004</v>
      </c>
      <c r="E10" s="21">
        <f t="shared" si="4"/>
        <v>38902.5</v>
      </c>
      <c r="F10" s="21">
        <f t="shared" si="4"/>
        <v>41626.838749999995</v>
      </c>
      <c r="G10" s="21">
        <f t="shared" si="4"/>
        <v>42393.75</v>
      </c>
      <c r="H10" s="21">
        <f t="shared" si="4"/>
        <v>38653.125</v>
      </c>
      <c r="I10" s="21">
        <f t="shared" si="4"/>
        <v>42884.625</v>
      </c>
      <c r="J10" s="21">
        <f t="shared" si="4"/>
        <v>43283.362499999996</v>
      </c>
      <c r="K10" s="21">
        <f t="shared" si="4"/>
        <v>40463.718750000007</v>
      </c>
      <c r="L10" s="21">
        <f t="shared" si="4"/>
        <v>28224</v>
      </c>
      <c r="M10" s="33">
        <f t="shared" si="4"/>
        <v>23435.999999999996</v>
      </c>
      <c r="N10" s="47">
        <f t="shared" si="2"/>
        <v>425066.31650000002</v>
      </c>
      <c r="O10" s="38">
        <f>N10/$N$14</f>
        <v>0.83333333333333348</v>
      </c>
    </row>
    <row r="11" spans="1:15" x14ac:dyDescent="0.2">
      <c r="A11" s="688" t="s">
        <v>87</v>
      </c>
      <c r="B11" s="21">
        <f t="shared" ref="B11:M11" si="5">B47*B6</f>
        <v>4820.5248000000011</v>
      </c>
      <c r="C11" s="21">
        <f t="shared" si="5"/>
        <v>5673.0240000000003</v>
      </c>
      <c r="D11" s="21">
        <f t="shared" si="5"/>
        <v>6546.1305000000002</v>
      </c>
      <c r="E11" s="21">
        <f t="shared" si="5"/>
        <v>7780.5</v>
      </c>
      <c r="F11" s="21">
        <f t="shared" si="5"/>
        <v>8325.3677499999994</v>
      </c>
      <c r="G11" s="21">
        <f t="shared" si="5"/>
        <v>8478.75</v>
      </c>
      <c r="H11" s="21">
        <f t="shared" si="5"/>
        <v>7730.625</v>
      </c>
      <c r="I11" s="21">
        <f t="shared" si="5"/>
        <v>8576.9249999999993</v>
      </c>
      <c r="J11" s="21">
        <f t="shared" si="5"/>
        <v>8656.6725000000006</v>
      </c>
      <c r="K11" s="21">
        <f t="shared" si="5"/>
        <v>8092.7437500000005</v>
      </c>
      <c r="L11" s="21">
        <f t="shared" si="5"/>
        <v>5644.8</v>
      </c>
      <c r="M11" s="33">
        <f t="shared" si="5"/>
        <v>4687.1999999999989</v>
      </c>
      <c r="N11" s="47">
        <f t="shared" si="2"/>
        <v>85013.263299999991</v>
      </c>
      <c r="O11" s="38">
        <f>N11/$N$14</f>
        <v>0.16666666666666666</v>
      </c>
    </row>
    <row r="12" spans="1:15" x14ac:dyDescent="0.2">
      <c r="A12" s="688" t="s">
        <v>88</v>
      </c>
      <c r="B12" s="21">
        <f t="shared" ref="B12:M12" si="6">B10+B11</f>
        <v>28923.148800000003</v>
      </c>
      <c r="C12" s="21">
        <f t="shared" si="6"/>
        <v>34038.144</v>
      </c>
      <c r="D12" s="21">
        <f t="shared" si="6"/>
        <v>39276.783000000003</v>
      </c>
      <c r="E12" s="21">
        <f t="shared" si="6"/>
        <v>46683</v>
      </c>
      <c r="F12" s="21">
        <f t="shared" si="6"/>
        <v>49952.206499999993</v>
      </c>
      <c r="G12" s="21">
        <f t="shared" si="6"/>
        <v>50872.5</v>
      </c>
      <c r="H12" s="21">
        <f t="shared" si="6"/>
        <v>46383.75</v>
      </c>
      <c r="I12" s="21">
        <f t="shared" si="6"/>
        <v>51461.55</v>
      </c>
      <c r="J12" s="21">
        <f t="shared" si="6"/>
        <v>51940.034999999996</v>
      </c>
      <c r="K12" s="21">
        <f t="shared" si="6"/>
        <v>48556.462500000009</v>
      </c>
      <c r="L12" s="21">
        <f t="shared" si="6"/>
        <v>33868.800000000003</v>
      </c>
      <c r="M12" s="33">
        <f t="shared" si="6"/>
        <v>28123.199999999997</v>
      </c>
      <c r="N12" s="47">
        <f t="shared" si="2"/>
        <v>510079.57979999995</v>
      </c>
      <c r="O12" s="38">
        <f>N12/$N$14</f>
        <v>1</v>
      </c>
    </row>
    <row r="13" spans="1:15" x14ac:dyDescent="0.2">
      <c r="A13" s="698" t="s">
        <v>351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ht="15.75" thickBot="1" x14ac:dyDescent="0.25">
      <c r="A14" s="691" t="s">
        <v>89</v>
      </c>
      <c r="B14" s="21">
        <f>B12</f>
        <v>28923.148800000003</v>
      </c>
      <c r="C14" s="21">
        <f t="shared" ref="C14:N14" si="7">C12</f>
        <v>34038.144</v>
      </c>
      <c r="D14" s="21">
        <f t="shared" si="7"/>
        <v>39276.783000000003</v>
      </c>
      <c r="E14" s="21">
        <f t="shared" si="7"/>
        <v>46683</v>
      </c>
      <c r="F14" s="21">
        <f t="shared" si="7"/>
        <v>49952.206499999993</v>
      </c>
      <c r="G14" s="21">
        <f t="shared" si="7"/>
        <v>50872.5</v>
      </c>
      <c r="H14" s="21">
        <f t="shared" si="7"/>
        <v>46383.75</v>
      </c>
      <c r="I14" s="21">
        <f t="shared" si="7"/>
        <v>51461.55</v>
      </c>
      <c r="J14" s="21">
        <f t="shared" si="7"/>
        <v>51940.034999999996</v>
      </c>
      <c r="K14" s="21">
        <f t="shared" si="7"/>
        <v>48556.462500000009</v>
      </c>
      <c r="L14" s="21">
        <f t="shared" si="7"/>
        <v>33868.800000000003</v>
      </c>
      <c r="M14" s="21">
        <f t="shared" si="7"/>
        <v>28123.199999999997</v>
      </c>
      <c r="N14" s="21">
        <f t="shared" si="7"/>
        <v>510079.57979999995</v>
      </c>
      <c r="O14" s="38">
        <f>N14/$N$14</f>
        <v>1</v>
      </c>
    </row>
    <row r="15" spans="1:15" x14ac:dyDescent="0.2">
      <c r="A15" s="678" t="str">
        <f>+A52</f>
        <v>LUNCH</v>
      </c>
      <c r="B15" s="5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4"/>
      <c r="N15" s="46"/>
      <c r="O15" s="39"/>
    </row>
    <row r="16" spans="1:15" x14ac:dyDescent="0.2">
      <c r="A16" s="688" t="str">
        <f>+A10</f>
        <v>FOOD REVENUE</v>
      </c>
      <c r="B16" s="21">
        <f t="shared" ref="B16:M16" si="8">B7*B55</f>
        <v>29789.760000000006</v>
      </c>
      <c r="C16" s="21">
        <f t="shared" si="8"/>
        <v>34668.480000000003</v>
      </c>
      <c r="D16" s="21">
        <f t="shared" si="8"/>
        <v>41003.234999999993</v>
      </c>
      <c r="E16" s="21">
        <f t="shared" si="8"/>
        <v>54054</v>
      </c>
      <c r="F16" s="21">
        <f t="shared" si="8"/>
        <v>57839.396999999997</v>
      </c>
      <c r="G16" s="21">
        <f t="shared" si="8"/>
        <v>69615</v>
      </c>
      <c r="H16" s="21">
        <f t="shared" si="8"/>
        <v>63472.5</v>
      </c>
      <c r="I16" s="21">
        <f t="shared" si="8"/>
        <v>71935.5</v>
      </c>
      <c r="J16" s="21">
        <f t="shared" si="8"/>
        <v>73721.340000000011</v>
      </c>
      <c r="K16" s="21">
        <f t="shared" si="8"/>
        <v>71216.145000000004</v>
      </c>
      <c r="L16" s="21">
        <f t="shared" si="8"/>
        <v>53555.040000000001</v>
      </c>
      <c r="M16" s="33">
        <f t="shared" si="8"/>
        <v>34372.799999999996</v>
      </c>
      <c r="N16" s="47">
        <f t="shared" si="2"/>
        <v>655243.19700000004</v>
      </c>
      <c r="O16" s="40">
        <f>N16/$N$20</f>
        <v>0.65361326428210831</v>
      </c>
    </row>
    <row r="17" spans="1:15" x14ac:dyDescent="0.2">
      <c r="A17" s="688" t="str">
        <f>+A11</f>
        <v>BEVERAGE REVENUE</v>
      </c>
      <c r="B17" s="21">
        <f t="shared" ref="B17:M17" si="9">B7*B56</f>
        <v>17873.856000000003</v>
      </c>
      <c r="C17" s="21">
        <f t="shared" si="9"/>
        <v>20801.088000000003</v>
      </c>
      <c r="D17" s="21">
        <f t="shared" si="9"/>
        <v>24601.940999999999</v>
      </c>
      <c r="E17" s="21">
        <f t="shared" si="9"/>
        <v>29484</v>
      </c>
      <c r="F17" s="21">
        <f t="shared" si="9"/>
        <v>31548.761999999995</v>
      </c>
      <c r="G17" s="21">
        <f t="shared" si="9"/>
        <v>34807.5</v>
      </c>
      <c r="H17" s="21">
        <f t="shared" si="9"/>
        <v>31736.25</v>
      </c>
      <c r="I17" s="21">
        <f t="shared" si="9"/>
        <v>35967.75</v>
      </c>
      <c r="J17" s="21">
        <f t="shared" si="9"/>
        <v>36860.670000000006</v>
      </c>
      <c r="K17" s="21">
        <f t="shared" si="9"/>
        <v>35608.072500000002</v>
      </c>
      <c r="L17" s="21">
        <f t="shared" si="9"/>
        <v>29211.84</v>
      </c>
      <c r="M17" s="33">
        <f t="shared" si="9"/>
        <v>18748.8</v>
      </c>
      <c r="N17" s="47">
        <f t="shared" si="2"/>
        <v>347250.5295</v>
      </c>
      <c r="O17" s="40">
        <f>N17/$N$20</f>
        <v>0.3463867357178918</v>
      </c>
    </row>
    <row r="18" spans="1:15" x14ac:dyDescent="0.2">
      <c r="A18" s="688" t="str">
        <f>+A12</f>
        <v>F&amp;B REVENUE</v>
      </c>
      <c r="B18" s="21">
        <f>B16+B17</f>
        <v>47663.616000000009</v>
      </c>
      <c r="C18" s="21">
        <f t="shared" ref="C18:M18" si="10">C16+C17</f>
        <v>55469.568000000007</v>
      </c>
      <c r="D18" s="21">
        <f t="shared" si="10"/>
        <v>65605.175999999992</v>
      </c>
      <c r="E18" s="21">
        <f t="shared" si="10"/>
        <v>83538</v>
      </c>
      <c r="F18" s="21">
        <f t="shared" si="10"/>
        <v>89388.158999999985</v>
      </c>
      <c r="G18" s="21">
        <f t="shared" si="10"/>
        <v>104422.5</v>
      </c>
      <c r="H18" s="21">
        <f t="shared" si="10"/>
        <v>95208.75</v>
      </c>
      <c r="I18" s="21">
        <f t="shared" si="10"/>
        <v>107903.25</v>
      </c>
      <c r="J18" s="21">
        <f t="shared" si="10"/>
        <v>110582.01000000001</v>
      </c>
      <c r="K18" s="21">
        <f t="shared" si="10"/>
        <v>106824.2175</v>
      </c>
      <c r="L18" s="21">
        <f t="shared" si="10"/>
        <v>82766.880000000005</v>
      </c>
      <c r="M18" s="33">
        <f t="shared" si="10"/>
        <v>53121.599999999991</v>
      </c>
      <c r="N18" s="47">
        <f t="shared" si="2"/>
        <v>1002493.7265</v>
      </c>
      <c r="O18" s="40">
        <f>N18/$N$20</f>
        <v>1</v>
      </c>
    </row>
    <row r="19" spans="1:15" x14ac:dyDescent="0.2">
      <c r="A19" s="698" t="s">
        <v>351</v>
      </c>
      <c r="B19" s="21">
        <f>B7*B57</f>
        <v>1191.5904000000003</v>
      </c>
      <c r="C19" s="21">
        <f>C7*C57</f>
        <v>2773.4784000000004</v>
      </c>
      <c r="D19" s="21">
        <f t="shared" ref="D19:L19" si="11">D7*D57</f>
        <v>4100.3234999999995</v>
      </c>
      <c r="E19" s="21">
        <f t="shared" si="11"/>
        <v>4914</v>
      </c>
      <c r="F19" s="21">
        <f t="shared" si="11"/>
        <v>6309.7523999999994</v>
      </c>
      <c r="G19" s="21">
        <f t="shared" si="11"/>
        <v>9282</v>
      </c>
      <c r="H19" s="21">
        <f t="shared" si="11"/>
        <v>8463</v>
      </c>
      <c r="I19" s="21">
        <f t="shared" si="11"/>
        <v>9591.4</v>
      </c>
      <c r="J19" s="21">
        <f t="shared" si="11"/>
        <v>7372.134</v>
      </c>
      <c r="K19" s="21">
        <f t="shared" si="11"/>
        <v>4747.7430000000004</v>
      </c>
      <c r="L19" s="21">
        <f t="shared" si="11"/>
        <v>3894.9119999999998</v>
      </c>
      <c r="M19" s="21">
        <f>M7*M57</f>
        <v>1874.8799999999997</v>
      </c>
      <c r="N19" s="21">
        <f>SUM(B19:M19)</f>
        <v>64515.213699999993</v>
      </c>
      <c r="O19" s="40">
        <f>N19/$N$20</f>
        <v>6.4354730602895191E-2</v>
      </c>
    </row>
    <row r="20" spans="1:15" ht="15.75" thickBot="1" x14ac:dyDescent="0.25">
      <c r="A20" s="691" t="str">
        <f>+A14</f>
        <v>TOTAL REVENUE</v>
      </c>
      <c r="B20" s="21">
        <f>B18</f>
        <v>47663.616000000009</v>
      </c>
      <c r="C20" s="21">
        <f t="shared" ref="C20:N20" si="12">C18</f>
        <v>55469.568000000007</v>
      </c>
      <c r="D20" s="21">
        <f t="shared" si="12"/>
        <v>65605.175999999992</v>
      </c>
      <c r="E20" s="21">
        <f t="shared" si="12"/>
        <v>83538</v>
      </c>
      <c r="F20" s="21">
        <f t="shared" si="12"/>
        <v>89388.158999999985</v>
      </c>
      <c r="G20" s="21">
        <f t="shared" si="12"/>
        <v>104422.5</v>
      </c>
      <c r="H20" s="21">
        <f t="shared" si="12"/>
        <v>95208.75</v>
      </c>
      <c r="I20" s="21">
        <f t="shared" si="12"/>
        <v>107903.25</v>
      </c>
      <c r="J20" s="21">
        <f t="shared" si="12"/>
        <v>110582.01000000001</v>
      </c>
      <c r="K20" s="21">
        <f t="shared" si="12"/>
        <v>106824.2175</v>
      </c>
      <c r="L20" s="21">
        <f t="shared" si="12"/>
        <v>82766.880000000005</v>
      </c>
      <c r="M20" s="21">
        <f t="shared" si="12"/>
        <v>53121.599999999991</v>
      </c>
      <c r="N20" s="21">
        <f t="shared" si="12"/>
        <v>1002493.7265</v>
      </c>
      <c r="O20" s="40">
        <f>N20/$N$20</f>
        <v>1</v>
      </c>
    </row>
    <row r="21" spans="1:15" x14ac:dyDescent="0.2">
      <c r="A21" s="678" t="str">
        <f>+A62</f>
        <v>DINNER</v>
      </c>
      <c r="B21" s="5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34"/>
      <c r="N21" s="46"/>
      <c r="O21" s="39"/>
    </row>
    <row r="22" spans="1:15" x14ac:dyDescent="0.2">
      <c r="A22" s="688" t="str">
        <f>+A16</f>
        <v>FOOD REVENUE</v>
      </c>
      <c r="B22" s="21">
        <f t="shared" ref="B22:M22" si="13">B8*B64</f>
        <v>32497.920000000006</v>
      </c>
      <c r="C22" s="21">
        <f t="shared" si="13"/>
        <v>41602.176000000007</v>
      </c>
      <c r="D22" s="21">
        <f t="shared" si="13"/>
        <v>48340.656000000003</v>
      </c>
      <c r="E22" s="21">
        <f t="shared" si="13"/>
        <v>63882</v>
      </c>
      <c r="F22" s="21">
        <f t="shared" si="13"/>
        <v>74051.955249999999</v>
      </c>
      <c r="G22" s="21">
        <f t="shared" si="13"/>
        <v>93712.5</v>
      </c>
      <c r="H22" s="21">
        <f t="shared" si="13"/>
        <v>85443.75</v>
      </c>
      <c r="I22" s="21">
        <f t="shared" si="13"/>
        <v>96836.249999999985</v>
      </c>
      <c r="J22" s="21">
        <f t="shared" si="13"/>
        <v>100529.09999999999</v>
      </c>
      <c r="K22" s="21">
        <f t="shared" si="13"/>
        <v>93066.553125000006</v>
      </c>
      <c r="L22" s="21">
        <f t="shared" si="13"/>
        <v>50450.400000000009</v>
      </c>
      <c r="M22" s="33">
        <f t="shared" si="13"/>
        <v>35747.712</v>
      </c>
      <c r="N22" s="47">
        <f t="shared" si="2"/>
        <v>816160.9723749999</v>
      </c>
      <c r="O22" s="40">
        <f>N22/$N$26</f>
        <v>0.68460561120761954</v>
      </c>
    </row>
    <row r="23" spans="1:15" x14ac:dyDescent="0.2">
      <c r="A23" s="688" t="str">
        <f>+A17</f>
        <v>BEVERAGE REVENUE</v>
      </c>
      <c r="B23" s="21">
        <f t="shared" ref="B23:M23" si="14">B8*B65</f>
        <v>17332.224000000002</v>
      </c>
      <c r="C23" s="21">
        <f t="shared" si="14"/>
        <v>22187.827200000003</v>
      </c>
      <c r="D23" s="21">
        <f t="shared" si="14"/>
        <v>25781.683200000003</v>
      </c>
      <c r="E23" s="21">
        <f t="shared" si="14"/>
        <v>31449.599999999999</v>
      </c>
      <c r="F23" s="21">
        <f t="shared" si="14"/>
        <v>36456.347199999997</v>
      </c>
      <c r="G23" s="21">
        <f t="shared" si="14"/>
        <v>39984</v>
      </c>
      <c r="H23" s="21">
        <f t="shared" si="14"/>
        <v>36456</v>
      </c>
      <c r="I23" s="21">
        <f t="shared" si="14"/>
        <v>41316.799999999996</v>
      </c>
      <c r="J23" s="21">
        <f t="shared" si="14"/>
        <v>42892.415999999997</v>
      </c>
      <c r="K23" s="21">
        <f t="shared" si="14"/>
        <v>39708.396000000001</v>
      </c>
      <c r="L23" s="21">
        <f t="shared" si="14"/>
        <v>24837.120000000003</v>
      </c>
      <c r="M23" s="33">
        <f t="shared" si="14"/>
        <v>17598.873599999999</v>
      </c>
      <c r="N23" s="47">
        <f t="shared" si="2"/>
        <v>376001.28719999996</v>
      </c>
      <c r="O23" s="40">
        <f>N23/$N$26</f>
        <v>0.31539438879238008</v>
      </c>
    </row>
    <row r="24" spans="1:15" x14ac:dyDescent="0.2">
      <c r="A24" s="688" t="str">
        <f>+A18</f>
        <v>F&amp;B REVENUE</v>
      </c>
      <c r="B24" s="21">
        <f>B22+B23</f>
        <v>49830.144000000008</v>
      </c>
      <c r="C24" s="21">
        <f t="shared" ref="C24:M24" si="15">C22+C23</f>
        <v>63790.003200000006</v>
      </c>
      <c r="D24" s="21">
        <f t="shared" si="15"/>
        <v>74122.339200000002</v>
      </c>
      <c r="E24" s="21">
        <f t="shared" si="15"/>
        <v>95331.6</v>
      </c>
      <c r="F24" s="21">
        <f t="shared" si="15"/>
        <v>110508.30244999999</v>
      </c>
      <c r="G24" s="21">
        <f t="shared" si="15"/>
        <v>133696.5</v>
      </c>
      <c r="H24" s="21">
        <f t="shared" si="15"/>
        <v>121899.75</v>
      </c>
      <c r="I24" s="21">
        <f t="shared" si="15"/>
        <v>138153.04999999999</v>
      </c>
      <c r="J24" s="21">
        <f t="shared" si="15"/>
        <v>143421.516</v>
      </c>
      <c r="K24" s="21">
        <f t="shared" si="15"/>
        <v>132774.94912500001</v>
      </c>
      <c r="L24" s="21">
        <f t="shared" si="15"/>
        <v>75287.520000000019</v>
      </c>
      <c r="M24" s="33">
        <f t="shared" si="15"/>
        <v>53346.585599999999</v>
      </c>
      <c r="N24" s="47">
        <f t="shared" si="2"/>
        <v>1192162.2595750003</v>
      </c>
      <c r="O24" s="40">
        <f>N24/$N$26</f>
        <v>1</v>
      </c>
    </row>
    <row r="25" spans="1:15" x14ac:dyDescent="0.2">
      <c r="A25" s="698" t="s">
        <v>351</v>
      </c>
      <c r="B25" s="699">
        <f>B8*B66</f>
        <v>2708.1600000000003</v>
      </c>
      <c r="C25" s="699">
        <f t="shared" ref="C25:M25" si="16">C8*C66</f>
        <v>3466.8480000000004</v>
      </c>
      <c r="D25" s="699">
        <f t="shared" si="16"/>
        <v>4028.3880000000004</v>
      </c>
      <c r="E25" s="699">
        <f t="shared" si="16"/>
        <v>4914</v>
      </c>
      <c r="F25" s="699">
        <f t="shared" si="16"/>
        <v>5696.3042499999992</v>
      </c>
      <c r="G25" s="699">
        <f t="shared" si="16"/>
        <v>6247.5</v>
      </c>
      <c r="H25" s="699">
        <f t="shared" si="16"/>
        <v>5696.25</v>
      </c>
      <c r="I25" s="699">
        <f t="shared" si="16"/>
        <v>6455.7499999999991</v>
      </c>
      <c r="J25" s="699">
        <f t="shared" si="16"/>
        <v>6701.94</v>
      </c>
      <c r="K25" s="699">
        <f t="shared" si="16"/>
        <v>6204.4368750000003</v>
      </c>
      <c r="L25" s="699">
        <f t="shared" si="16"/>
        <v>3880.8</v>
      </c>
      <c r="M25" s="699">
        <f t="shared" si="16"/>
        <v>2749.8239999999996</v>
      </c>
      <c r="N25" s="700">
        <f>SUM(B25:M25)</f>
        <v>58750.201125000007</v>
      </c>
      <c r="O25" s="40">
        <f>N25/$N$26</f>
        <v>4.9280373248809399E-2</v>
      </c>
    </row>
    <row r="26" spans="1:15" ht="15.75" thickBot="1" x14ac:dyDescent="0.25">
      <c r="A26" s="691" t="str">
        <f>+A20</f>
        <v>TOTAL REVENUE</v>
      </c>
      <c r="B26" s="26">
        <f>B24</f>
        <v>49830.144000000008</v>
      </c>
      <c r="C26" s="26">
        <f t="shared" ref="C26:N26" si="17">C24</f>
        <v>63790.003200000006</v>
      </c>
      <c r="D26" s="26">
        <f t="shared" si="17"/>
        <v>74122.339200000002</v>
      </c>
      <c r="E26" s="26">
        <f t="shared" si="17"/>
        <v>95331.6</v>
      </c>
      <c r="F26" s="26">
        <f t="shared" si="17"/>
        <v>110508.30244999999</v>
      </c>
      <c r="G26" s="26">
        <f t="shared" si="17"/>
        <v>133696.5</v>
      </c>
      <c r="H26" s="26">
        <f t="shared" si="17"/>
        <v>121899.75</v>
      </c>
      <c r="I26" s="26">
        <f t="shared" si="17"/>
        <v>138153.04999999999</v>
      </c>
      <c r="J26" s="26">
        <f t="shared" si="17"/>
        <v>143421.516</v>
      </c>
      <c r="K26" s="26">
        <f t="shared" si="17"/>
        <v>132774.94912500001</v>
      </c>
      <c r="L26" s="26">
        <f t="shared" si="17"/>
        <v>75287.520000000019</v>
      </c>
      <c r="M26" s="26">
        <f t="shared" si="17"/>
        <v>53346.585599999999</v>
      </c>
      <c r="N26" s="26">
        <f t="shared" si="17"/>
        <v>1192162.2595750003</v>
      </c>
      <c r="O26" s="41">
        <f>N26/$N$26</f>
        <v>1</v>
      </c>
    </row>
    <row r="27" spans="1:15" x14ac:dyDescent="0.2">
      <c r="A27" s="57"/>
      <c r="B27" s="5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35"/>
      <c r="N27" s="48"/>
      <c r="O27" s="42"/>
    </row>
    <row r="28" spans="1:15" x14ac:dyDescent="0.2">
      <c r="A28" s="536" t="str">
        <f>+A22</f>
        <v>FOOD REVENUE</v>
      </c>
      <c r="B28" s="21">
        <f t="shared" ref="B28:N28" si="18">B10+B16+B22</f>
        <v>86390.304000000004</v>
      </c>
      <c r="C28" s="21">
        <f t="shared" si="18"/>
        <v>104635.77600000001</v>
      </c>
      <c r="D28" s="21">
        <f t="shared" si="18"/>
        <v>122074.5435</v>
      </c>
      <c r="E28" s="21">
        <f t="shared" si="18"/>
        <v>156838.5</v>
      </c>
      <c r="F28" s="21">
        <f t="shared" si="18"/>
        <v>173518.19099999999</v>
      </c>
      <c r="G28" s="21">
        <f t="shared" si="18"/>
        <v>205721.25</v>
      </c>
      <c r="H28" s="21">
        <f t="shared" si="18"/>
        <v>187569.375</v>
      </c>
      <c r="I28" s="21">
        <f t="shared" si="18"/>
        <v>211656.375</v>
      </c>
      <c r="J28" s="21">
        <f t="shared" si="18"/>
        <v>217533.80249999999</v>
      </c>
      <c r="K28" s="21">
        <f t="shared" si="18"/>
        <v>204746.41687500002</v>
      </c>
      <c r="L28" s="21">
        <f t="shared" si="18"/>
        <v>132229.44</v>
      </c>
      <c r="M28" s="21">
        <f t="shared" si="18"/>
        <v>93556.511999999988</v>
      </c>
      <c r="N28" s="21">
        <f t="shared" si="18"/>
        <v>1896470.485875</v>
      </c>
      <c r="O28" s="22">
        <f>N28/$N$31</f>
        <v>0.70116669067479764</v>
      </c>
    </row>
    <row r="29" spans="1:15" x14ac:dyDescent="0.2">
      <c r="A29" s="536" t="str">
        <f>+A23</f>
        <v>BEVERAGE REVENUE</v>
      </c>
      <c r="B29" s="21">
        <f t="shared" ref="B29:N29" si="19">B11+B17+B23</f>
        <v>40026.604800000008</v>
      </c>
      <c r="C29" s="21">
        <f t="shared" si="19"/>
        <v>48661.939200000008</v>
      </c>
      <c r="D29" s="21">
        <f t="shared" si="19"/>
        <v>56929.754700000005</v>
      </c>
      <c r="E29" s="21">
        <f t="shared" si="19"/>
        <v>68714.100000000006</v>
      </c>
      <c r="F29" s="21">
        <f t="shared" si="19"/>
        <v>76330.476949999982</v>
      </c>
      <c r="G29" s="21">
        <f t="shared" si="19"/>
        <v>83270.25</v>
      </c>
      <c r="H29" s="21">
        <f t="shared" si="19"/>
        <v>75922.875</v>
      </c>
      <c r="I29" s="21">
        <f t="shared" si="19"/>
        <v>85861.475000000006</v>
      </c>
      <c r="J29" s="21">
        <f t="shared" si="19"/>
        <v>88409.758499999996</v>
      </c>
      <c r="K29" s="21">
        <f t="shared" si="19"/>
        <v>83409.212250000011</v>
      </c>
      <c r="L29" s="21">
        <f t="shared" si="19"/>
        <v>59693.760000000002</v>
      </c>
      <c r="M29" s="21">
        <f t="shared" si="19"/>
        <v>41034.873599999999</v>
      </c>
      <c r="N29" s="21">
        <f t="shared" si="19"/>
        <v>808265.08</v>
      </c>
      <c r="O29" s="22">
        <f>N29/$N$31</f>
        <v>0.29883330932520225</v>
      </c>
    </row>
    <row r="30" spans="1:15" ht="15.75" thickBot="1" x14ac:dyDescent="0.25">
      <c r="A30" s="536" t="str">
        <f>+A24</f>
        <v>F&amp;B REVENUE</v>
      </c>
      <c r="B30" s="21">
        <f t="shared" ref="B30:N30" si="20">B12+B18+B24</f>
        <v>126416.9088</v>
      </c>
      <c r="C30" s="21">
        <f t="shared" si="20"/>
        <v>153297.71520000001</v>
      </c>
      <c r="D30" s="21">
        <f t="shared" si="20"/>
        <v>179004.29820000002</v>
      </c>
      <c r="E30" s="21">
        <f t="shared" si="20"/>
        <v>225552.6</v>
      </c>
      <c r="F30" s="21">
        <f t="shared" si="20"/>
        <v>249848.66794999997</v>
      </c>
      <c r="G30" s="21">
        <f t="shared" si="20"/>
        <v>288991.5</v>
      </c>
      <c r="H30" s="21">
        <f t="shared" si="20"/>
        <v>263492.25</v>
      </c>
      <c r="I30" s="21">
        <f t="shared" si="20"/>
        <v>297517.84999999998</v>
      </c>
      <c r="J30" s="21">
        <f t="shared" si="20"/>
        <v>305943.56099999999</v>
      </c>
      <c r="K30" s="21">
        <f t="shared" si="20"/>
        <v>288155.62912499998</v>
      </c>
      <c r="L30" s="21">
        <f t="shared" si="20"/>
        <v>191923.20000000001</v>
      </c>
      <c r="M30" s="21">
        <f t="shared" si="20"/>
        <v>134591.38559999998</v>
      </c>
      <c r="N30" s="21">
        <f t="shared" si="20"/>
        <v>2704735.5658750003</v>
      </c>
      <c r="O30" s="22">
        <f>N30/$N$31</f>
        <v>1</v>
      </c>
    </row>
    <row r="31" spans="1:15" ht="15.75" thickBot="1" x14ac:dyDescent="0.25">
      <c r="A31" s="536" t="str">
        <f>+A26</f>
        <v>TOTAL REVENUE</v>
      </c>
      <c r="B31" s="539">
        <f t="shared" ref="B31:N31" si="21">B14+B20+B26</f>
        <v>126416.9088</v>
      </c>
      <c r="C31" s="539">
        <f t="shared" si="21"/>
        <v>153297.71520000001</v>
      </c>
      <c r="D31" s="539">
        <f t="shared" si="21"/>
        <v>179004.29820000002</v>
      </c>
      <c r="E31" s="539">
        <f t="shared" si="21"/>
        <v>225552.6</v>
      </c>
      <c r="F31" s="539">
        <f t="shared" si="21"/>
        <v>249848.66794999997</v>
      </c>
      <c r="G31" s="539">
        <f t="shared" si="21"/>
        <v>288991.5</v>
      </c>
      <c r="H31" s="539">
        <f t="shared" si="21"/>
        <v>263492.25</v>
      </c>
      <c r="I31" s="539">
        <f t="shared" si="21"/>
        <v>297517.84999999998</v>
      </c>
      <c r="J31" s="539">
        <f t="shared" si="21"/>
        <v>305943.56099999999</v>
      </c>
      <c r="K31" s="539">
        <f t="shared" si="21"/>
        <v>288155.62912499998</v>
      </c>
      <c r="L31" s="539">
        <f t="shared" si="21"/>
        <v>191923.20000000001</v>
      </c>
      <c r="M31" s="539">
        <f t="shared" si="21"/>
        <v>134591.38559999998</v>
      </c>
      <c r="N31" s="539">
        <f t="shared" si="21"/>
        <v>2704735.5658750003</v>
      </c>
      <c r="O31" s="540">
        <f>N31/$N$31</f>
        <v>1</v>
      </c>
    </row>
    <row r="32" spans="1:15" x14ac:dyDescent="0.2">
      <c r="A32" s="537" t="s">
        <v>90</v>
      </c>
      <c r="B32" s="21">
        <f t="shared" ref="B32:M32" si="22">B48*B10+B58*B16+B67*B22</f>
        <v>19187.313600000001</v>
      </c>
      <c r="C32" s="28">
        <f t="shared" si="22"/>
        <v>23322.432000000001</v>
      </c>
      <c r="D32" s="28">
        <f t="shared" si="22"/>
        <v>27245.570625</v>
      </c>
      <c r="E32" s="28">
        <f t="shared" si="22"/>
        <v>35319.375</v>
      </c>
      <c r="F32" s="28">
        <f t="shared" si="22"/>
        <v>39216.863874999995</v>
      </c>
      <c r="G32" s="28">
        <f t="shared" si="22"/>
        <v>47190.9375</v>
      </c>
      <c r="H32" s="28">
        <f t="shared" si="22"/>
        <v>43027.03125</v>
      </c>
      <c r="I32" s="28">
        <f t="shared" si="22"/>
        <v>48625.631249999991</v>
      </c>
      <c r="J32" s="28">
        <f t="shared" si="22"/>
        <v>50055.114375000005</v>
      </c>
      <c r="K32" s="28">
        <f t="shared" si="22"/>
        <v>47140.232343750002</v>
      </c>
      <c r="L32" s="28">
        <f t="shared" si="22"/>
        <v>30234.960000000003</v>
      </c>
      <c r="M32" s="28">
        <f t="shared" si="22"/>
        <v>21045.527999999998</v>
      </c>
      <c r="N32" s="28">
        <f>SUM(B32:M32)</f>
        <v>431610.98981875001</v>
      </c>
      <c r="O32" s="43">
        <f>N32/N31</f>
        <v>0.15957603961891223</v>
      </c>
    </row>
    <row r="33" spans="1:19" x14ac:dyDescent="0.2">
      <c r="A33" s="537" t="s">
        <v>91</v>
      </c>
      <c r="B33" s="21">
        <f>B49*B11+B59*B17+B68*B23</f>
        <v>5323.1592960000016</v>
      </c>
      <c r="C33" s="21">
        <f>C49*C11+C59*C17+C68*C23</f>
        <v>6505.0675200000005</v>
      </c>
      <c r="D33" s="21">
        <f>D49*D11+D59*D17+D68*D23</f>
        <v>7605.02106</v>
      </c>
      <c r="E33" s="21">
        <f>E49*E11+E59*E17+E68</f>
        <v>4471.8899999999994</v>
      </c>
      <c r="F33" s="21">
        <f t="shared" ref="F33:M33" si="23">F49*F11+F59*F17+F68*F23</f>
        <v>10253.34765</v>
      </c>
      <c r="G33" s="21">
        <f t="shared" si="23"/>
        <v>11191.949999999999</v>
      </c>
      <c r="H33" s="21">
        <f t="shared" si="23"/>
        <v>10204.424999999999</v>
      </c>
      <c r="I33" s="21">
        <f t="shared" si="23"/>
        <v>11542.880999999999</v>
      </c>
      <c r="J33" s="21">
        <f t="shared" si="23"/>
        <v>11895.943499999999</v>
      </c>
      <c r="K33" s="21">
        <f t="shared" si="23"/>
        <v>11200.35735</v>
      </c>
      <c r="L33" s="21">
        <f t="shared" si="23"/>
        <v>7908.3648000000003</v>
      </c>
      <c r="M33" s="21">
        <f t="shared" si="23"/>
        <v>5452.1510399999988</v>
      </c>
      <c r="N33" s="47">
        <f>SUM(B33:M33)</f>
        <v>103554.55821599999</v>
      </c>
      <c r="O33" s="22">
        <f>N33/N31</f>
        <v>3.8286389073491328E-2</v>
      </c>
    </row>
    <row r="34" spans="1:19" x14ac:dyDescent="0.2">
      <c r="A34" s="538" t="s">
        <v>92</v>
      </c>
      <c r="B34" s="21">
        <f>B32+B33</f>
        <v>24510.472896000003</v>
      </c>
      <c r="C34" s="28">
        <f t="shared" ref="C34:M34" si="24">C32+C33</f>
        <v>29827.499520000001</v>
      </c>
      <c r="D34" s="28">
        <f t="shared" si="24"/>
        <v>34850.591684999999</v>
      </c>
      <c r="E34" s="28">
        <f t="shared" si="24"/>
        <v>39791.264999999999</v>
      </c>
      <c r="F34" s="28">
        <f t="shared" si="24"/>
        <v>49470.211524999992</v>
      </c>
      <c r="G34" s="28">
        <f t="shared" si="24"/>
        <v>58382.887499999997</v>
      </c>
      <c r="H34" s="28">
        <f t="shared" si="24"/>
        <v>53231.456250000003</v>
      </c>
      <c r="I34" s="28">
        <f t="shared" si="24"/>
        <v>60168.512249999992</v>
      </c>
      <c r="J34" s="28">
        <f t="shared" si="24"/>
        <v>61951.057875000006</v>
      </c>
      <c r="K34" s="28">
        <f>K32+K33</f>
        <v>58340.58969375</v>
      </c>
      <c r="L34" s="28">
        <f t="shared" si="24"/>
        <v>38143.324800000002</v>
      </c>
      <c r="M34" s="28">
        <f t="shared" si="24"/>
        <v>26497.679039999995</v>
      </c>
      <c r="N34" s="47">
        <f t="shared" ref="N34:N36" si="25">SUM(B34:M34)</f>
        <v>535165.54803474993</v>
      </c>
      <c r="O34" s="22">
        <f>N34/N31</f>
        <v>0.19786242869240353</v>
      </c>
    </row>
    <row r="35" spans="1:19" x14ac:dyDescent="0.2">
      <c r="A35" s="683" t="s">
        <v>65</v>
      </c>
      <c r="B35" s="21">
        <f>$S$55</f>
        <v>38583.333333333336</v>
      </c>
      <c r="C35" s="28">
        <f t="shared" ref="C35:M35" si="26">$S$55</f>
        <v>38583.333333333336</v>
      </c>
      <c r="D35" s="28">
        <f t="shared" si="26"/>
        <v>38583.333333333336</v>
      </c>
      <c r="E35" s="28">
        <f t="shared" si="26"/>
        <v>38583.333333333336</v>
      </c>
      <c r="F35" s="28">
        <f t="shared" si="26"/>
        <v>38583.333333333336</v>
      </c>
      <c r="G35" s="28">
        <f t="shared" si="26"/>
        <v>38583.333333333336</v>
      </c>
      <c r="H35" s="28">
        <f t="shared" si="26"/>
        <v>38583.333333333336</v>
      </c>
      <c r="I35" s="28">
        <f>$S$55</f>
        <v>38583.333333333336</v>
      </c>
      <c r="J35" s="28">
        <f t="shared" si="26"/>
        <v>38583.333333333336</v>
      </c>
      <c r="K35" s="28">
        <f t="shared" si="26"/>
        <v>38583.333333333336</v>
      </c>
      <c r="L35" s="28">
        <f t="shared" si="26"/>
        <v>38583.333333333336</v>
      </c>
      <c r="M35" s="28">
        <f t="shared" si="26"/>
        <v>38583.333333333336</v>
      </c>
      <c r="N35" s="47">
        <f t="shared" si="25"/>
        <v>462999.99999999994</v>
      </c>
      <c r="O35" s="22">
        <f>N35/N31</f>
        <v>0.17118124442239746</v>
      </c>
    </row>
    <row r="36" spans="1:19" x14ac:dyDescent="0.2">
      <c r="A36" s="683" t="s">
        <v>93</v>
      </c>
      <c r="B36" s="21">
        <f>$Q$59*B31</f>
        <v>3792.5072639999999</v>
      </c>
      <c r="C36" s="28">
        <f>$Q$59*C31</f>
        <v>4598.9314560000003</v>
      </c>
      <c r="D36" s="28">
        <f>$Q$60*D31</f>
        <v>8055.1934190000002</v>
      </c>
      <c r="E36" s="28">
        <f>$Q$60*E31</f>
        <v>10149.867</v>
      </c>
      <c r="F36" s="28">
        <f>$Q$60*F31</f>
        <v>11243.190057749998</v>
      </c>
      <c r="G36" s="28">
        <f>$Q$61*G31</f>
        <v>17339.489999999998</v>
      </c>
      <c r="H36" s="28">
        <f>$Q$61*H31</f>
        <v>15809.535</v>
      </c>
      <c r="I36" s="28">
        <f>$Q$61*I31</f>
        <v>17851.070999999996</v>
      </c>
      <c r="J36" s="28">
        <f>$Q$61*J31</f>
        <v>18356.613659999999</v>
      </c>
      <c r="K36" s="28">
        <f>$Q$60*K31</f>
        <v>12967.003310624999</v>
      </c>
      <c r="L36" s="28">
        <f>$Q$59*L31</f>
        <v>5757.6959999999999</v>
      </c>
      <c r="M36" s="28">
        <f>$Q$59*M31</f>
        <v>4037.7415679999995</v>
      </c>
      <c r="N36" s="47">
        <f t="shared" si="25"/>
        <v>129958.83973537499</v>
      </c>
      <c r="O36" s="22">
        <f>N36/N31</f>
        <v>4.8048630474281658E-2</v>
      </c>
    </row>
    <row r="37" spans="1:19" x14ac:dyDescent="0.2">
      <c r="A37" s="684" t="s">
        <v>43</v>
      </c>
      <c r="B37" s="21">
        <f>$U$62</f>
        <v>416.66666666666669</v>
      </c>
      <c r="C37" s="21">
        <f t="shared" ref="C37:M37" si="27">$U$62</f>
        <v>416.66666666666669</v>
      </c>
      <c r="D37" s="21">
        <f t="shared" si="27"/>
        <v>416.66666666666669</v>
      </c>
      <c r="E37" s="21">
        <f t="shared" si="27"/>
        <v>416.66666666666669</v>
      </c>
      <c r="F37" s="21">
        <f t="shared" si="27"/>
        <v>416.66666666666669</v>
      </c>
      <c r="G37" s="21">
        <f t="shared" si="27"/>
        <v>416.66666666666669</v>
      </c>
      <c r="H37" s="21">
        <f t="shared" si="27"/>
        <v>416.66666666666669</v>
      </c>
      <c r="I37" s="21">
        <f t="shared" si="27"/>
        <v>416.66666666666669</v>
      </c>
      <c r="J37" s="21">
        <f t="shared" si="27"/>
        <v>416.66666666666669</v>
      </c>
      <c r="K37" s="21">
        <f t="shared" si="27"/>
        <v>416.66666666666669</v>
      </c>
      <c r="L37" s="21">
        <f t="shared" si="27"/>
        <v>416.66666666666669</v>
      </c>
      <c r="M37" s="21">
        <f t="shared" si="27"/>
        <v>416.66666666666669</v>
      </c>
      <c r="N37" s="62">
        <f t="shared" ref="N37" si="28">SUM(B37:M37)</f>
        <v>5000</v>
      </c>
      <c r="O37" s="64">
        <f>N37/N31</f>
        <v>1.8486095509978131E-3</v>
      </c>
      <c r="P37"/>
      <c r="Q37"/>
    </row>
    <row r="38" spans="1:19" x14ac:dyDescent="0.2">
      <c r="A38" s="685" t="s">
        <v>94</v>
      </c>
      <c r="B38" s="21">
        <f t="shared" ref="B38:M38" si="29">B35+B36</f>
        <v>42375.840597333336</v>
      </c>
      <c r="C38" s="28">
        <f t="shared" si="29"/>
        <v>43182.264789333334</v>
      </c>
      <c r="D38" s="28">
        <f t="shared" si="29"/>
        <v>46638.526752333339</v>
      </c>
      <c r="E38" s="28">
        <f t="shared" si="29"/>
        <v>48733.200333333334</v>
      </c>
      <c r="F38" s="28">
        <f t="shared" si="29"/>
        <v>49826.523391083334</v>
      </c>
      <c r="G38" s="28">
        <f t="shared" si="29"/>
        <v>55922.823333333334</v>
      </c>
      <c r="H38" s="28">
        <f t="shared" si="29"/>
        <v>54392.868333333332</v>
      </c>
      <c r="I38" s="28">
        <f t="shared" si="29"/>
        <v>56434.404333333332</v>
      </c>
      <c r="J38" s="28">
        <f t="shared" si="29"/>
        <v>56939.946993333331</v>
      </c>
      <c r="K38" s="28">
        <f t="shared" si="29"/>
        <v>51550.336643958333</v>
      </c>
      <c r="L38" s="28">
        <f t="shared" si="29"/>
        <v>44341.029333333339</v>
      </c>
      <c r="M38" s="28">
        <f t="shared" si="29"/>
        <v>42621.074901333333</v>
      </c>
      <c r="N38" s="47">
        <f>SUM(B38:M38)</f>
        <v>592958.83973537502</v>
      </c>
      <c r="O38" s="22">
        <f>N38/N31</f>
        <v>0.21922987489667917</v>
      </c>
    </row>
    <row r="39" spans="1:19" x14ac:dyDescent="0.2">
      <c r="A39" s="685" t="s">
        <v>95</v>
      </c>
      <c r="B39" s="21">
        <f t="shared" ref="B39:M39" si="30">B34+B38</f>
        <v>66886.313493333335</v>
      </c>
      <c r="C39" s="28">
        <f t="shared" si="30"/>
        <v>73009.764309333332</v>
      </c>
      <c r="D39" s="28">
        <f t="shared" si="30"/>
        <v>81489.118437333338</v>
      </c>
      <c r="E39" s="28">
        <f t="shared" si="30"/>
        <v>88524.465333333326</v>
      </c>
      <c r="F39" s="28">
        <f t="shared" si="30"/>
        <v>99296.734916083326</v>
      </c>
      <c r="G39" s="28">
        <f t="shared" si="30"/>
        <v>114305.71083333333</v>
      </c>
      <c r="H39" s="28">
        <f t="shared" si="30"/>
        <v>107624.32458333333</v>
      </c>
      <c r="I39" s="28">
        <f t="shared" si="30"/>
        <v>116602.91658333332</v>
      </c>
      <c r="J39" s="28">
        <f t="shared" si="30"/>
        <v>118891.00486833334</v>
      </c>
      <c r="K39" s="28">
        <f t="shared" si="30"/>
        <v>109890.92633770834</v>
      </c>
      <c r="L39" s="28">
        <f t="shared" si="30"/>
        <v>82484.354133333341</v>
      </c>
      <c r="M39" s="28">
        <f t="shared" si="30"/>
        <v>69118.753941333329</v>
      </c>
      <c r="N39" s="47">
        <f>SUM(B39:M39)</f>
        <v>1128124.3877701252</v>
      </c>
      <c r="O39" s="22">
        <f>N39/N31</f>
        <v>0.41709230358908278</v>
      </c>
    </row>
    <row r="40" spans="1:19" x14ac:dyDescent="0.2">
      <c r="A40" s="683" t="s">
        <v>96</v>
      </c>
      <c r="B40" s="21">
        <f t="shared" ref="B40:M40" si="31">B50*B10+B60*B20+B69*B26</f>
        <v>12885.425280000003</v>
      </c>
      <c r="C40" s="21">
        <f t="shared" si="31"/>
        <v>15636.114816000001</v>
      </c>
      <c r="D40" s="21">
        <f t="shared" si="31"/>
        <v>18272.480226</v>
      </c>
      <c r="E40" s="21">
        <f t="shared" si="31"/>
        <v>23089.248</v>
      </c>
      <c r="F40" s="21">
        <f t="shared" si="31"/>
        <v>25598.753122249997</v>
      </c>
      <c r="G40" s="21">
        <f t="shared" si="31"/>
        <v>28916.107499999998</v>
      </c>
      <c r="H40" s="21">
        <f t="shared" si="31"/>
        <v>26364.686249999999</v>
      </c>
      <c r="I40" s="21">
        <f t="shared" si="31"/>
        <v>29806.197749999999</v>
      </c>
      <c r="J40" s="21">
        <f t="shared" si="31"/>
        <v>30685.949280000001</v>
      </c>
      <c r="K40" s="21">
        <f t="shared" si="31"/>
        <v>28929.131083125001</v>
      </c>
      <c r="L40" s="21">
        <f t="shared" si="31"/>
        <v>19831.946400000001</v>
      </c>
      <c r="M40" s="21">
        <f t="shared" si="31"/>
        <v>13788.367487999998</v>
      </c>
      <c r="N40" s="47">
        <f>SUM(B40:M40)</f>
        <v>273804.40719537501</v>
      </c>
      <c r="O40" s="22">
        <f>N40/N31</f>
        <v>0.10123148844933291</v>
      </c>
    </row>
    <row r="41" spans="1:19" ht="15.75" thickBot="1" x14ac:dyDescent="0.25">
      <c r="A41" s="686" t="s">
        <v>97</v>
      </c>
      <c r="B41" s="692">
        <f>B39+B40+B37</f>
        <v>80188.405440000017</v>
      </c>
      <c r="C41" s="692">
        <f t="shared" ref="C41:M41" si="32">C39+C40+C37</f>
        <v>89062.545792000004</v>
      </c>
      <c r="D41" s="692">
        <f t="shared" si="32"/>
        <v>100178.26533000001</v>
      </c>
      <c r="E41" s="692">
        <f t="shared" si="32"/>
        <v>112030.37999999999</v>
      </c>
      <c r="F41" s="692">
        <f t="shared" si="32"/>
        <v>125312.15470499999</v>
      </c>
      <c r="G41" s="692">
        <f t="shared" si="32"/>
        <v>143638.48499999999</v>
      </c>
      <c r="H41" s="692">
        <f t="shared" si="32"/>
        <v>134405.67749999999</v>
      </c>
      <c r="I41" s="692">
        <f t="shared" si="32"/>
        <v>146825.78099999999</v>
      </c>
      <c r="J41" s="692">
        <f t="shared" si="32"/>
        <v>149993.620815</v>
      </c>
      <c r="K41" s="692">
        <f t="shared" si="32"/>
        <v>139236.72408749998</v>
      </c>
      <c r="L41" s="692">
        <f t="shared" si="32"/>
        <v>102732.96720000001</v>
      </c>
      <c r="M41" s="692">
        <f t="shared" si="32"/>
        <v>83323.788096000004</v>
      </c>
      <c r="N41" s="692">
        <f>SUM(B41:M41)</f>
        <v>1406928.7949655</v>
      </c>
      <c r="O41" s="701">
        <f>N41/N31</f>
        <v>0.52017240158941347</v>
      </c>
    </row>
    <row r="42" spans="1:19" ht="15.75" thickBot="1" x14ac:dyDescent="0.25">
      <c r="A42" s="687" t="s">
        <v>48</v>
      </c>
      <c r="B42" s="693">
        <f t="shared" ref="B42:M42" si="33">B31-B41</f>
        <v>46228.503359999988</v>
      </c>
      <c r="C42" s="693">
        <f t="shared" si="33"/>
        <v>64235.169408000002</v>
      </c>
      <c r="D42" s="693">
        <f t="shared" si="33"/>
        <v>78826.03287000001</v>
      </c>
      <c r="E42" s="693">
        <f t="shared" si="33"/>
        <v>113522.22000000002</v>
      </c>
      <c r="F42" s="693">
        <f t="shared" si="33"/>
        <v>124536.51324499998</v>
      </c>
      <c r="G42" s="693">
        <f t="shared" si="33"/>
        <v>145353.01500000001</v>
      </c>
      <c r="H42" s="693">
        <f t="shared" si="33"/>
        <v>129086.57250000001</v>
      </c>
      <c r="I42" s="693">
        <f t="shared" si="33"/>
        <v>150692.06899999999</v>
      </c>
      <c r="J42" s="693">
        <f t="shared" si="33"/>
        <v>155949.94018499998</v>
      </c>
      <c r="K42" s="693">
        <f t="shared" si="33"/>
        <v>148918.90503749999</v>
      </c>
      <c r="L42" s="693">
        <f t="shared" si="33"/>
        <v>89190.232799999998</v>
      </c>
      <c r="M42" s="693">
        <f t="shared" si="33"/>
        <v>51267.597503999976</v>
      </c>
      <c r="N42" s="693">
        <f>SUM(B42:M42)</f>
        <v>1297806.7709095001</v>
      </c>
      <c r="O42" s="702">
        <f>N42/N31</f>
        <v>0.47982759841058648</v>
      </c>
    </row>
    <row r="43" spans="1:19" ht="15.75" thickBot="1" x14ac:dyDescent="0.25">
      <c r="A43" s="58"/>
      <c r="B43" s="8" t="s">
        <v>16</v>
      </c>
      <c r="C43" s="49" t="s">
        <v>16</v>
      </c>
      <c r="D43" s="49" t="s">
        <v>16</v>
      </c>
      <c r="E43" s="49" t="s">
        <v>17</v>
      </c>
      <c r="F43" s="49" t="s">
        <v>17</v>
      </c>
      <c r="G43" s="49" t="s">
        <v>18</v>
      </c>
      <c r="H43" s="49" t="s">
        <v>17</v>
      </c>
      <c r="I43" s="49" t="s">
        <v>18</v>
      </c>
      <c r="J43" s="49" t="s">
        <v>18</v>
      </c>
      <c r="K43" s="49" t="s">
        <v>18</v>
      </c>
      <c r="L43" s="49" t="s">
        <v>17</v>
      </c>
      <c r="M43" s="50" t="s">
        <v>16</v>
      </c>
    </row>
    <row r="44" spans="1:19" ht="15.75" thickBot="1" x14ac:dyDescent="0.25">
      <c r="A44" s="678" t="s">
        <v>98</v>
      </c>
      <c r="B44" s="8" t="s">
        <v>2</v>
      </c>
      <c r="C44" s="8" t="s">
        <v>3</v>
      </c>
      <c r="D44" s="8" t="s">
        <v>4</v>
      </c>
      <c r="E44" s="8" t="s">
        <v>5</v>
      </c>
      <c r="F44" s="8" t="s">
        <v>6</v>
      </c>
      <c r="G44" s="8" t="s">
        <v>7</v>
      </c>
      <c r="H44" s="8" t="s">
        <v>8</v>
      </c>
      <c r="I44" s="8" t="s">
        <v>9</v>
      </c>
      <c r="J44" s="8" t="s">
        <v>10</v>
      </c>
      <c r="K44" s="8" t="s">
        <v>11</v>
      </c>
      <c r="L44" s="8" t="s">
        <v>12</v>
      </c>
      <c r="M44" s="14" t="s">
        <v>13</v>
      </c>
      <c r="N44" s="3"/>
      <c r="O44" s="546" t="s">
        <v>65</v>
      </c>
      <c r="P44" s="547" t="s">
        <v>99</v>
      </c>
      <c r="Q44" s="547" t="s">
        <v>100</v>
      </c>
      <c r="R44" s="556" t="s">
        <v>67</v>
      </c>
      <c r="S44" s="695" t="s">
        <v>101</v>
      </c>
    </row>
    <row r="45" spans="1:19" ht="15.75" thickBot="1" x14ac:dyDescent="0.25">
      <c r="A45" s="719" t="s">
        <v>102</v>
      </c>
      <c r="B45" s="55">
        <v>0.89</v>
      </c>
      <c r="C45" s="24">
        <v>0.9</v>
      </c>
      <c r="D45" s="24">
        <v>0.91</v>
      </c>
      <c r="E45" s="24">
        <v>0.95</v>
      </c>
      <c r="F45" s="24">
        <v>0.95</v>
      </c>
      <c r="G45" s="24">
        <v>0.95</v>
      </c>
      <c r="H45" s="24">
        <v>0.95</v>
      </c>
      <c r="I45" s="24">
        <v>0.93</v>
      </c>
      <c r="J45" s="24">
        <v>0.93</v>
      </c>
      <c r="K45" s="24">
        <v>0.9</v>
      </c>
      <c r="L45" s="24">
        <v>0.8</v>
      </c>
      <c r="M45" s="25">
        <v>0.75</v>
      </c>
      <c r="N45" s="3"/>
      <c r="O45" s="548" t="s">
        <v>346</v>
      </c>
      <c r="P45" s="549">
        <v>1</v>
      </c>
      <c r="Q45" s="549">
        <v>60000</v>
      </c>
      <c r="R45" s="28">
        <f>P45*Q45</f>
        <v>60000</v>
      </c>
      <c r="S45" s="696">
        <f t="shared" ref="S45:S55" si="34">R45/12</f>
        <v>5000</v>
      </c>
    </row>
    <row r="46" spans="1:19" x14ac:dyDescent="0.2">
      <c r="A46" s="682" t="s">
        <v>103</v>
      </c>
      <c r="B46" s="21">
        <v>25</v>
      </c>
      <c r="C46" s="21">
        <v>25</v>
      </c>
      <c r="D46" s="21">
        <v>25</v>
      </c>
      <c r="E46" s="21">
        <v>25</v>
      </c>
      <c r="F46" s="21">
        <v>25</v>
      </c>
      <c r="G46" s="21">
        <v>25</v>
      </c>
      <c r="H46" s="21">
        <v>25</v>
      </c>
      <c r="I46" s="21">
        <v>25</v>
      </c>
      <c r="J46" s="21">
        <v>25</v>
      </c>
      <c r="K46" s="21">
        <v>25</v>
      </c>
      <c r="L46" s="21">
        <v>25</v>
      </c>
      <c r="M46" s="21">
        <v>25</v>
      </c>
      <c r="N46" s="3"/>
      <c r="O46" s="548" t="s">
        <v>347</v>
      </c>
      <c r="P46" s="549">
        <v>1</v>
      </c>
      <c r="Q46" s="549">
        <v>40000</v>
      </c>
      <c r="R46" s="28">
        <f>P46*Q46</f>
        <v>40000</v>
      </c>
      <c r="S46" s="696">
        <f t="shared" si="34"/>
        <v>3333.3333333333335</v>
      </c>
    </row>
    <row r="47" spans="1:19" x14ac:dyDescent="0.2">
      <c r="A47" s="682" t="s">
        <v>104</v>
      </c>
      <c r="B47" s="21">
        <v>5</v>
      </c>
      <c r="C47" s="21">
        <v>5</v>
      </c>
      <c r="D47" s="21">
        <v>5</v>
      </c>
      <c r="E47" s="21">
        <v>5</v>
      </c>
      <c r="F47" s="21">
        <v>5</v>
      </c>
      <c r="G47" s="21">
        <v>5</v>
      </c>
      <c r="H47" s="21">
        <v>5</v>
      </c>
      <c r="I47" s="21">
        <v>5</v>
      </c>
      <c r="J47" s="21">
        <v>5</v>
      </c>
      <c r="K47" s="21">
        <v>5</v>
      </c>
      <c r="L47" s="21">
        <v>5</v>
      </c>
      <c r="M47" s="21">
        <v>5</v>
      </c>
      <c r="N47" s="7"/>
      <c r="O47" s="548" t="s">
        <v>105</v>
      </c>
      <c r="P47" s="549">
        <v>3</v>
      </c>
      <c r="Q47" s="549">
        <v>22000</v>
      </c>
      <c r="R47" s="28">
        <f t="shared" ref="R47:R48" si="35">P47*Q47</f>
        <v>66000</v>
      </c>
      <c r="S47" s="696">
        <f t="shared" si="34"/>
        <v>5500</v>
      </c>
    </row>
    <row r="48" spans="1:19" x14ac:dyDescent="0.2">
      <c r="A48" s="718" t="s">
        <v>106</v>
      </c>
      <c r="B48" s="55">
        <v>0.15</v>
      </c>
      <c r="C48" s="55">
        <v>0.15</v>
      </c>
      <c r="D48" s="55">
        <v>0.15</v>
      </c>
      <c r="E48" s="55">
        <v>0.15</v>
      </c>
      <c r="F48" s="55">
        <v>0.15</v>
      </c>
      <c r="G48" s="55">
        <v>0.15</v>
      </c>
      <c r="H48" s="55">
        <v>0.15</v>
      </c>
      <c r="I48" s="55">
        <v>0.15</v>
      </c>
      <c r="J48" s="55">
        <v>0.15</v>
      </c>
      <c r="K48" s="55">
        <v>0.15</v>
      </c>
      <c r="L48" s="55">
        <v>0.15</v>
      </c>
      <c r="M48" s="55">
        <v>0.15</v>
      </c>
      <c r="O48" s="548" t="s">
        <v>107</v>
      </c>
      <c r="P48" s="549">
        <v>2</v>
      </c>
      <c r="Q48" s="549">
        <f>Q47/2</f>
        <v>11000</v>
      </c>
      <c r="R48" s="28">
        <f t="shared" si="35"/>
        <v>22000</v>
      </c>
      <c r="S48" s="696">
        <f t="shared" si="34"/>
        <v>1833.3333333333333</v>
      </c>
    </row>
    <row r="49" spans="1:21" ht="16.350000000000001" customHeight="1" x14ac:dyDescent="0.2">
      <c r="A49" s="682" t="s">
        <v>108</v>
      </c>
      <c r="B49" s="61">
        <v>0.12</v>
      </c>
      <c r="C49" s="61">
        <v>0.12</v>
      </c>
      <c r="D49" s="61">
        <v>0.12</v>
      </c>
      <c r="E49" s="61">
        <v>0.12</v>
      </c>
      <c r="F49" s="61">
        <v>0.12</v>
      </c>
      <c r="G49" s="61">
        <v>0.12</v>
      </c>
      <c r="H49" s="61">
        <v>0.12</v>
      </c>
      <c r="I49" s="61">
        <v>0.12</v>
      </c>
      <c r="J49" s="61">
        <v>0.12</v>
      </c>
      <c r="K49" s="61">
        <v>0.12</v>
      </c>
      <c r="L49" s="61">
        <v>0.12</v>
      </c>
      <c r="M49" s="61">
        <v>0.12</v>
      </c>
      <c r="O49" s="548" t="s">
        <v>387</v>
      </c>
      <c r="P49" s="549">
        <v>1</v>
      </c>
      <c r="Q49" s="549">
        <v>32000</v>
      </c>
      <c r="R49" s="28">
        <f t="shared" ref="R49:R54" si="36">P49*Q49</f>
        <v>32000</v>
      </c>
      <c r="S49" s="696">
        <f t="shared" si="34"/>
        <v>2666.6666666666665</v>
      </c>
    </row>
    <row r="50" spans="1:21" ht="15.75" thickBot="1" x14ac:dyDescent="0.25">
      <c r="A50" s="682" t="s">
        <v>109</v>
      </c>
      <c r="B50" s="55">
        <v>0.1</v>
      </c>
      <c r="C50" s="24">
        <v>0.1</v>
      </c>
      <c r="D50" s="24">
        <v>0.1</v>
      </c>
      <c r="E50" s="24">
        <v>0.1</v>
      </c>
      <c r="F50" s="24">
        <v>0.1</v>
      </c>
      <c r="G50" s="24">
        <v>0.08</v>
      </c>
      <c r="H50" s="24">
        <v>0.08</v>
      </c>
      <c r="I50" s="24">
        <v>0.08</v>
      </c>
      <c r="J50" s="24">
        <v>0.08</v>
      </c>
      <c r="K50" s="24">
        <v>0.08</v>
      </c>
      <c r="L50" s="24">
        <v>0.1</v>
      </c>
      <c r="M50" s="25">
        <v>0.1</v>
      </c>
      <c r="O50" s="548" t="s">
        <v>386</v>
      </c>
      <c r="P50" s="549">
        <v>1</v>
      </c>
      <c r="Q50" s="558">
        <v>25000</v>
      </c>
      <c r="R50" s="28">
        <f t="shared" si="36"/>
        <v>25000</v>
      </c>
      <c r="S50" s="696">
        <f t="shared" si="34"/>
        <v>2083.3333333333335</v>
      </c>
    </row>
    <row r="51" spans="1:21" ht="15.75" thickBot="1" x14ac:dyDescent="0.25">
      <c r="A51" s="60"/>
      <c r="B51" s="10"/>
      <c r="C51" s="10"/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548" t="s">
        <v>110</v>
      </c>
      <c r="P51" s="549">
        <v>3</v>
      </c>
      <c r="Q51" s="549">
        <v>20000</v>
      </c>
      <c r="R51" s="28">
        <f t="shared" si="36"/>
        <v>60000</v>
      </c>
      <c r="S51" s="696">
        <f t="shared" si="34"/>
        <v>5000</v>
      </c>
    </row>
    <row r="52" spans="1:21" ht="15.75" thickBot="1" x14ac:dyDescent="0.25">
      <c r="A52" s="678" t="s">
        <v>111</v>
      </c>
      <c r="B52" s="59"/>
      <c r="C52" s="15"/>
      <c r="D52" s="15"/>
      <c r="E52" s="16"/>
      <c r="F52" s="16"/>
      <c r="G52" s="16"/>
      <c r="H52" s="16"/>
      <c r="I52" s="16"/>
      <c r="J52" s="16"/>
      <c r="K52" s="16"/>
      <c r="L52" s="16"/>
      <c r="M52" s="17"/>
      <c r="O52" s="551" t="s">
        <v>112</v>
      </c>
      <c r="P52" s="552">
        <v>3</v>
      </c>
      <c r="Q52" s="552">
        <v>10000</v>
      </c>
      <c r="R52" s="28">
        <f t="shared" si="36"/>
        <v>30000</v>
      </c>
      <c r="S52" s="696">
        <f t="shared" si="34"/>
        <v>2500</v>
      </c>
    </row>
    <row r="53" spans="1:21" ht="15.75" thickBot="1" x14ac:dyDescent="0.25">
      <c r="A53" s="694"/>
      <c r="B53" s="541"/>
      <c r="C53" s="541"/>
      <c r="D53" s="542"/>
      <c r="E53" s="543"/>
      <c r="F53" s="543"/>
      <c r="G53" s="543"/>
      <c r="H53" s="543"/>
      <c r="I53" s="543"/>
      <c r="J53" s="543"/>
      <c r="K53" s="543"/>
      <c r="L53" s="543"/>
      <c r="M53" s="544"/>
      <c r="O53" s="551" t="s">
        <v>348</v>
      </c>
      <c r="P53" s="552">
        <v>2</v>
      </c>
      <c r="Q53" s="552">
        <v>40000</v>
      </c>
      <c r="R53" s="28">
        <f t="shared" si="36"/>
        <v>80000</v>
      </c>
      <c r="S53" s="696">
        <f t="shared" si="34"/>
        <v>6666.666666666667</v>
      </c>
    </row>
    <row r="54" spans="1:21" ht="15.75" thickBot="1" x14ac:dyDescent="0.25">
      <c r="A54" s="689" t="s">
        <v>102</v>
      </c>
      <c r="B54" s="55">
        <v>0.55000000000000004</v>
      </c>
      <c r="C54" s="55">
        <v>0.55000000000000004</v>
      </c>
      <c r="D54" s="24">
        <v>0.56999999999999995</v>
      </c>
      <c r="E54" s="24">
        <v>0.6</v>
      </c>
      <c r="F54" s="24">
        <v>0.6</v>
      </c>
      <c r="G54" s="24">
        <v>0.65</v>
      </c>
      <c r="H54" s="24">
        <v>0.65</v>
      </c>
      <c r="I54" s="24">
        <v>0.65</v>
      </c>
      <c r="J54" s="24">
        <v>0.66</v>
      </c>
      <c r="K54" s="24">
        <v>0.66</v>
      </c>
      <c r="L54" s="24">
        <v>0.69</v>
      </c>
      <c r="M54" s="25">
        <v>0.5</v>
      </c>
      <c r="O54" s="551" t="s">
        <v>113</v>
      </c>
      <c r="P54" s="552">
        <v>2</v>
      </c>
      <c r="Q54" s="552">
        <v>24000</v>
      </c>
      <c r="R54" s="28">
        <f t="shared" si="36"/>
        <v>48000</v>
      </c>
      <c r="S54" s="697">
        <f t="shared" si="34"/>
        <v>4000</v>
      </c>
    </row>
    <row r="55" spans="1:21" x14ac:dyDescent="0.2">
      <c r="A55" s="682" t="s">
        <v>103</v>
      </c>
      <c r="B55" s="21">
        <v>50</v>
      </c>
      <c r="C55" s="21">
        <v>50</v>
      </c>
      <c r="D55" s="21">
        <v>50</v>
      </c>
      <c r="E55" s="21">
        <v>55</v>
      </c>
      <c r="F55" s="21">
        <v>55</v>
      </c>
      <c r="G55" s="21">
        <v>60</v>
      </c>
      <c r="H55" s="21">
        <v>60</v>
      </c>
      <c r="I55" s="21">
        <v>60</v>
      </c>
      <c r="J55" s="21">
        <v>60</v>
      </c>
      <c r="K55" s="21">
        <v>60</v>
      </c>
      <c r="L55" s="21">
        <v>55</v>
      </c>
      <c r="M55" s="21">
        <v>55</v>
      </c>
      <c r="Q55" s="553" t="s">
        <v>114</v>
      </c>
      <c r="R55" s="28">
        <f>SUM(R45:R54)</f>
        <v>463000</v>
      </c>
      <c r="S55" s="28">
        <f t="shared" si="34"/>
        <v>38583.333333333336</v>
      </c>
    </row>
    <row r="56" spans="1:21" ht="15.75" thickBot="1" x14ac:dyDescent="0.25">
      <c r="A56" s="682" t="s">
        <v>104</v>
      </c>
      <c r="B56" s="21">
        <v>30</v>
      </c>
      <c r="C56" s="21">
        <v>30</v>
      </c>
      <c r="D56" s="21">
        <v>30</v>
      </c>
      <c r="E56" s="21">
        <v>30</v>
      </c>
      <c r="F56" s="21">
        <v>30</v>
      </c>
      <c r="G56" s="21">
        <v>30</v>
      </c>
      <c r="H56" s="21">
        <v>30</v>
      </c>
      <c r="I56" s="21">
        <v>30</v>
      </c>
      <c r="J56" s="21">
        <v>30</v>
      </c>
      <c r="K56" s="21">
        <v>30</v>
      </c>
      <c r="L56" s="21">
        <v>30</v>
      </c>
      <c r="M56" s="21">
        <v>30</v>
      </c>
    </row>
    <row r="57" spans="1:21" ht="16.5" customHeight="1" thickBot="1" x14ac:dyDescent="0.25">
      <c r="A57" s="682" t="s">
        <v>115</v>
      </c>
      <c r="B57" s="21">
        <v>2</v>
      </c>
      <c r="C57" s="21">
        <v>4</v>
      </c>
      <c r="D57" s="21">
        <v>5</v>
      </c>
      <c r="E57" s="21">
        <v>5</v>
      </c>
      <c r="F57" s="21">
        <v>6</v>
      </c>
      <c r="G57" s="21">
        <v>8</v>
      </c>
      <c r="H57" s="21">
        <v>8</v>
      </c>
      <c r="I57" s="21">
        <v>8</v>
      </c>
      <c r="J57" s="21">
        <v>6</v>
      </c>
      <c r="K57" s="21">
        <v>4</v>
      </c>
      <c r="L57" s="21">
        <v>4</v>
      </c>
      <c r="M57" s="21">
        <v>3</v>
      </c>
      <c r="O57" s="743" t="s">
        <v>116</v>
      </c>
      <c r="P57" s="744"/>
      <c r="Q57" s="745"/>
    </row>
    <row r="58" spans="1:21" ht="15.75" thickBot="1" x14ac:dyDescent="0.25">
      <c r="A58" s="682" t="s">
        <v>106</v>
      </c>
      <c r="B58" s="55">
        <v>0.25</v>
      </c>
      <c r="C58" s="55">
        <v>0.25</v>
      </c>
      <c r="D58" s="55">
        <v>0.25</v>
      </c>
      <c r="E58" s="55">
        <v>0.25</v>
      </c>
      <c r="F58" s="55">
        <v>0.25</v>
      </c>
      <c r="G58" s="55">
        <v>0.25</v>
      </c>
      <c r="H58" s="55">
        <v>0.25</v>
      </c>
      <c r="I58" s="55">
        <v>0.25</v>
      </c>
      <c r="J58" s="55">
        <v>0.25</v>
      </c>
      <c r="K58" s="55">
        <v>0.25</v>
      </c>
      <c r="L58" s="55">
        <v>0.25</v>
      </c>
      <c r="M58" s="55">
        <v>0.25</v>
      </c>
    </row>
    <row r="59" spans="1:21" x14ac:dyDescent="0.2">
      <c r="A59" s="682" t="s">
        <v>108</v>
      </c>
      <c r="B59" s="55">
        <v>0.12</v>
      </c>
      <c r="C59" s="55">
        <v>0.12</v>
      </c>
      <c r="D59" s="55">
        <v>0.12</v>
      </c>
      <c r="E59" s="55">
        <v>0.12</v>
      </c>
      <c r="F59" s="55">
        <v>0.12</v>
      </c>
      <c r="G59" s="55">
        <v>0.12</v>
      </c>
      <c r="H59" s="55">
        <v>0.12</v>
      </c>
      <c r="I59" s="55">
        <v>0.12</v>
      </c>
      <c r="J59" s="55">
        <v>0.12</v>
      </c>
      <c r="K59" s="55">
        <v>0.12</v>
      </c>
      <c r="L59" s="55">
        <v>0.12</v>
      </c>
      <c r="M59" s="55">
        <v>0.12</v>
      </c>
      <c r="O59" s="556" t="s">
        <v>117</v>
      </c>
      <c r="P59" s="554" t="s">
        <v>349</v>
      </c>
      <c r="Q59" s="29">
        <v>0.03</v>
      </c>
    </row>
    <row r="60" spans="1:21" x14ac:dyDescent="0.2">
      <c r="A60" s="682" t="str">
        <f>+A50</f>
        <v>other expenses %</v>
      </c>
      <c r="B60" s="55">
        <v>0.11</v>
      </c>
      <c r="C60" s="24">
        <v>0.11</v>
      </c>
      <c r="D60" s="24">
        <v>0.11</v>
      </c>
      <c r="E60" s="24">
        <v>0.11</v>
      </c>
      <c r="F60" s="24">
        <v>0.11</v>
      </c>
      <c r="G60" s="24">
        <v>0.11</v>
      </c>
      <c r="H60" s="24">
        <v>0.11</v>
      </c>
      <c r="I60" s="24">
        <v>0.11</v>
      </c>
      <c r="J60" s="24">
        <v>0.11</v>
      </c>
      <c r="K60" s="24">
        <v>0.11</v>
      </c>
      <c r="L60" s="24">
        <v>0.11</v>
      </c>
      <c r="M60" s="24">
        <v>0.11</v>
      </c>
      <c r="N60" s="13"/>
      <c r="O60" s="556" t="s">
        <v>118</v>
      </c>
      <c r="P60" s="550" t="s">
        <v>350</v>
      </c>
      <c r="Q60" s="29">
        <v>4.4999999999999998E-2</v>
      </c>
    </row>
    <row r="61" spans="1:21" ht="15.75" thickBot="1" x14ac:dyDescent="0.25">
      <c r="A61" s="58"/>
      <c r="B61" s="10"/>
      <c r="C61" s="10"/>
      <c r="D61" s="10"/>
      <c r="E61" s="11"/>
      <c r="F61" s="11"/>
      <c r="G61" s="11"/>
      <c r="H61" s="11"/>
      <c r="I61" s="11"/>
      <c r="J61" s="11"/>
      <c r="K61" s="11"/>
      <c r="L61" s="11"/>
      <c r="M61" s="11"/>
      <c r="N61" s="13"/>
      <c r="O61" s="556" t="s">
        <v>119</v>
      </c>
      <c r="P61" s="550" t="s">
        <v>120</v>
      </c>
      <c r="Q61" s="30">
        <v>0.06</v>
      </c>
    </row>
    <row r="62" spans="1:21" x14ac:dyDescent="0.2">
      <c r="A62" s="678" t="s">
        <v>121</v>
      </c>
      <c r="B62" s="59"/>
      <c r="C62" s="15"/>
      <c r="D62" s="15"/>
      <c r="E62" s="16"/>
      <c r="F62" s="16"/>
      <c r="G62" s="16"/>
      <c r="H62" s="16"/>
      <c r="I62" s="16"/>
      <c r="J62" s="16"/>
      <c r="K62" s="16"/>
      <c r="L62" s="16"/>
      <c r="M62" s="17"/>
      <c r="N62" s="13"/>
      <c r="O62" s="557" t="s">
        <v>43</v>
      </c>
      <c r="P62" s="746" t="s">
        <v>378</v>
      </c>
      <c r="Q62" s="746"/>
      <c r="R62" s="746"/>
      <c r="S62" s="703"/>
      <c r="T62" s="704"/>
      <c r="U62" s="555">
        <f>250*20/12</f>
        <v>416.66666666666669</v>
      </c>
    </row>
    <row r="63" spans="1:21" ht="15.75" thickBot="1" x14ac:dyDescent="0.25">
      <c r="A63" s="689" t="str">
        <f>+A54</f>
        <v>Captured rate</v>
      </c>
      <c r="B63" s="55">
        <v>0.5</v>
      </c>
      <c r="C63" s="55">
        <v>0.55000000000000004</v>
      </c>
      <c r="D63" s="24">
        <v>0.56000000000000005</v>
      </c>
      <c r="E63" s="24">
        <v>0.6</v>
      </c>
      <c r="F63" s="24">
        <v>0.65</v>
      </c>
      <c r="G63" s="24">
        <v>0.7</v>
      </c>
      <c r="H63" s="24">
        <v>0.7</v>
      </c>
      <c r="I63" s="24">
        <v>0.7</v>
      </c>
      <c r="J63" s="24">
        <v>0.72</v>
      </c>
      <c r="K63" s="24">
        <v>0.69</v>
      </c>
      <c r="L63" s="24">
        <v>0.55000000000000004</v>
      </c>
      <c r="M63" s="24">
        <v>0.44</v>
      </c>
      <c r="N63" s="13"/>
      <c r="O63" s="10"/>
      <c r="P63" s="10"/>
      <c r="Q63" s="10"/>
    </row>
    <row r="64" spans="1:21" x14ac:dyDescent="0.2">
      <c r="A64" s="545" t="s">
        <v>103</v>
      </c>
      <c r="B64" s="21">
        <v>60</v>
      </c>
      <c r="C64" s="21">
        <v>60</v>
      </c>
      <c r="D64" s="21">
        <v>60</v>
      </c>
      <c r="E64" s="21">
        <v>65</v>
      </c>
      <c r="F64" s="21">
        <v>65</v>
      </c>
      <c r="G64" s="21">
        <v>75</v>
      </c>
      <c r="H64" s="21">
        <v>75</v>
      </c>
      <c r="I64" s="21">
        <v>75</v>
      </c>
      <c r="J64" s="21">
        <v>75</v>
      </c>
      <c r="K64" s="21">
        <v>75</v>
      </c>
      <c r="L64" s="21">
        <v>65</v>
      </c>
      <c r="M64" s="21">
        <v>65</v>
      </c>
      <c r="O64" s="10"/>
      <c r="P64" s="10"/>
      <c r="Q64" s="10"/>
    </row>
    <row r="65" spans="1:17" x14ac:dyDescent="0.2">
      <c r="A65" s="545" t="s">
        <v>104</v>
      </c>
      <c r="B65" s="21">
        <v>32</v>
      </c>
      <c r="C65" s="21">
        <v>32</v>
      </c>
      <c r="D65" s="21">
        <v>32</v>
      </c>
      <c r="E65" s="21">
        <v>32</v>
      </c>
      <c r="F65" s="21">
        <v>32</v>
      </c>
      <c r="G65" s="21">
        <v>32</v>
      </c>
      <c r="H65" s="21">
        <v>32</v>
      </c>
      <c r="I65" s="21">
        <v>32</v>
      </c>
      <c r="J65" s="21">
        <v>32</v>
      </c>
      <c r="K65" s="21">
        <v>32</v>
      </c>
      <c r="L65" s="21">
        <v>32</v>
      </c>
      <c r="M65" s="21">
        <v>32</v>
      </c>
      <c r="O65" s="4"/>
      <c r="P65" s="4"/>
      <c r="Q65" s="4"/>
    </row>
    <row r="66" spans="1:17" x14ac:dyDescent="0.2">
      <c r="A66" s="545" t="s">
        <v>115</v>
      </c>
      <c r="B66" s="21">
        <v>5</v>
      </c>
      <c r="C66" s="21">
        <v>5</v>
      </c>
      <c r="D66" s="21">
        <v>5</v>
      </c>
      <c r="E66" s="21">
        <v>5</v>
      </c>
      <c r="F66" s="21">
        <v>5</v>
      </c>
      <c r="G66" s="21">
        <v>5</v>
      </c>
      <c r="H66" s="21">
        <v>5</v>
      </c>
      <c r="I66" s="21">
        <v>5</v>
      </c>
      <c r="J66" s="21">
        <v>5</v>
      </c>
      <c r="K66" s="21">
        <v>5</v>
      </c>
      <c r="L66" s="21">
        <v>5</v>
      </c>
      <c r="M66" s="21">
        <v>5</v>
      </c>
    </row>
    <row r="67" spans="1:17" x14ac:dyDescent="0.2">
      <c r="A67" s="682" t="s">
        <v>106</v>
      </c>
      <c r="B67" s="55">
        <v>0.25</v>
      </c>
      <c r="C67" s="55">
        <v>0.25</v>
      </c>
      <c r="D67" s="55">
        <v>0.25</v>
      </c>
      <c r="E67" s="55">
        <v>0.25</v>
      </c>
      <c r="F67" s="55">
        <v>0.25</v>
      </c>
      <c r="G67" s="55">
        <v>0.25</v>
      </c>
      <c r="H67" s="55">
        <v>0.25</v>
      </c>
      <c r="I67" s="55">
        <v>0.25</v>
      </c>
      <c r="J67" s="55">
        <v>0.25</v>
      </c>
      <c r="K67" s="55">
        <v>0.25</v>
      </c>
      <c r="L67" s="55">
        <v>0.25</v>
      </c>
      <c r="M67" s="55">
        <v>0.25</v>
      </c>
    </row>
    <row r="68" spans="1:17" x14ac:dyDescent="0.2">
      <c r="A68" s="682" t="s">
        <v>108</v>
      </c>
      <c r="B68" s="55">
        <v>0.15</v>
      </c>
      <c r="C68" s="55">
        <v>0.15</v>
      </c>
      <c r="D68" s="55">
        <v>0.15</v>
      </c>
      <c r="E68" s="55">
        <v>0.15</v>
      </c>
      <c r="F68" s="55">
        <v>0.15</v>
      </c>
      <c r="G68" s="55">
        <v>0.15</v>
      </c>
      <c r="H68" s="55">
        <v>0.15</v>
      </c>
      <c r="I68" s="55">
        <v>0.15</v>
      </c>
      <c r="J68" s="55">
        <v>0.15</v>
      </c>
      <c r="K68" s="55">
        <v>0.15</v>
      </c>
      <c r="L68" s="55">
        <v>0.15</v>
      </c>
      <c r="M68" s="55">
        <v>0.15</v>
      </c>
    </row>
    <row r="69" spans="1:17" x14ac:dyDescent="0.2">
      <c r="A69" s="682" t="str">
        <f>+A60</f>
        <v>other expenses %</v>
      </c>
      <c r="B69" s="55">
        <v>0.105</v>
      </c>
      <c r="C69" s="24">
        <v>0.105</v>
      </c>
      <c r="D69" s="24">
        <v>0.105</v>
      </c>
      <c r="E69" s="24">
        <v>0.105</v>
      </c>
      <c r="F69" s="24">
        <v>0.105</v>
      </c>
      <c r="G69" s="24">
        <v>0.105</v>
      </c>
      <c r="H69" s="24">
        <v>0.105</v>
      </c>
      <c r="I69" s="24">
        <v>0.105</v>
      </c>
      <c r="J69" s="24">
        <v>0.105</v>
      </c>
      <c r="K69" s="24">
        <v>0.105</v>
      </c>
      <c r="L69" s="24">
        <v>0.105</v>
      </c>
      <c r="M69" s="24">
        <v>0.105</v>
      </c>
    </row>
  </sheetData>
  <mergeCells count="2">
    <mergeCell ref="O57:Q57"/>
    <mergeCell ref="P62:R6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B941-38E5-47F0-A210-CD4EE47BFEEC}">
  <dimension ref="A1:H75"/>
  <sheetViews>
    <sheetView topLeftCell="A3" zoomScale="50" zoomScaleNormal="100" workbookViewId="0">
      <selection activeCell="H44" sqref="H44"/>
    </sheetView>
  </sheetViews>
  <sheetFormatPr defaultColWidth="8.47265625" defaultRowHeight="15" x14ac:dyDescent="0.2"/>
  <cols>
    <col min="1" max="1" width="13.5859375" style="65" customWidth="1"/>
    <col min="2" max="2" width="5.109375" style="65" customWidth="1"/>
    <col min="3" max="3" width="12.23828125" style="65" customWidth="1"/>
    <col min="4" max="4" width="16.140625" style="2" customWidth="1"/>
    <col min="5" max="5" width="20.58203125" bestFit="1" customWidth="1"/>
    <col min="7" max="7" width="9.14453125" bestFit="1" customWidth="1"/>
  </cols>
  <sheetData>
    <row r="1" spans="1:6" x14ac:dyDescent="0.2">
      <c r="A1" s="767" t="s">
        <v>375</v>
      </c>
      <c r="B1" s="768"/>
      <c r="C1" s="768"/>
    </row>
    <row r="2" spans="1:6" x14ac:dyDescent="0.2">
      <c r="A2" s="769"/>
      <c r="B2" s="770"/>
      <c r="C2" s="770"/>
    </row>
    <row r="3" spans="1:6" ht="16.5" x14ac:dyDescent="0.2">
      <c r="A3" s="769"/>
      <c r="B3" s="770"/>
      <c r="C3" s="770"/>
      <c r="D3" s="79">
        <v>2025</v>
      </c>
      <c r="E3" s="82"/>
      <c r="F3" s="82"/>
    </row>
    <row r="4" spans="1:6" x14ac:dyDescent="0.2">
      <c r="A4" s="771" t="s">
        <v>21</v>
      </c>
      <c r="B4" s="771"/>
      <c r="C4" s="772"/>
      <c r="D4" s="79">
        <v>35</v>
      </c>
    </row>
    <row r="5" spans="1:6" x14ac:dyDescent="0.2">
      <c r="A5" s="771" t="s">
        <v>23</v>
      </c>
      <c r="B5" s="771"/>
      <c r="C5" s="772"/>
      <c r="D5" s="77">
        <f>35*365*D6</f>
        <v>9570.0499999999993</v>
      </c>
      <c r="E5" s="78"/>
      <c r="F5" s="78"/>
    </row>
    <row r="6" spans="1:6" x14ac:dyDescent="0.2">
      <c r="A6" s="771" t="s">
        <v>135</v>
      </c>
      <c r="B6" s="771"/>
      <c r="C6" s="772"/>
      <c r="D6" s="80">
        <f>'Rooms Division Income Statement'!N7</f>
        <v>0.74912328767123282</v>
      </c>
      <c r="E6" s="67"/>
      <c r="F6" s="67"/>
    </row>
    <row r="7" spans="1:6" x14ac:dyDescent="0.2">
      <c r="A7" s="771" t="s">
        <v>62</v>
      </c>
      <c r="B7" s="771"/>
      <c r="C7" s="772"/>
      <c r="D7" s="81">
        <f>'Rooms Division Income Statement'!N13</f>
        <v>288.85802582013679</v>
      </c>
      <c r="E7" s="67"/>
      <c r="F7" s="67"/>
    </row>
    <row r="8" spans="1:6" x14ac:dyDescent="0.2">
      <c r="A8" s="771" t="s">
        <v>27</v>
      </c>
      <c r="B8" s="771"/>
      <c r="C8" s="772"/>
      <c r="D8" s="81">
        <f>D14/(D4*365)</f>
        <v>216.39027397260273</v>
      </c>
      <c r="E8" s="78"/>
      <c r="F8" s="78"/>
    </row>
    <row r="9" spans="1:6" x14ac:dyDescent="0.2">
      <c r="A9" s="772" t="s">
        <v>352</v>
      </c>
      <c r="B9" s="779"/>
      <c r="C9" s="779"/>
      <c r="D9" s="81">
        <f>D11/(D4*365)</f>
        <v>428.11125760273973</v>
      </c>
      <c r="E9" s="78"/>
      <c r="F9" s="78"/>
    </row>
    <row r="10" spans="1:6" x14ac:dyDescent="0.2">
      <c r="A10" s="776"/>
      <c r="B10" s="777"/>
      <c r="C10" s="777"/>
    </row>
    <row r="11" spans="1:6" x14ac:dyDescent="0.2">
      <c r="A11" s="778" t="s">
        <v>138</v>
      </c>
      <c r="B11" s="778"/>
      <c r="C11" s="778"/>
      <c r="D11" s="559">
        <f>D14+D15</f>
        <v>5469121.3158750003</v>
      </c>
    </row>
    <row r="12" spans="1:6" x14ac:dyDescent="0.2">
      <c r="A12" s="76"/>
      <c r="B12" s="75"/>
      <c r="C12" s="74"/>
    </row>
    <row r="13" spans="1:6" x14ac:dyDescent="0.2">
      <c r="A13" s="748" t="s">
        <v>353</v>
      </c>
      <c r="B13" s="748"/>
      <c r="C13" s="748"/>
      <c r="D13" s="4" t="s">
        <v>380</v>
      </c>
      <c r="E13" s="413" t="s">
        <v>34</v>
      </c>
    </row>
    <row r="14" spans="1:6" x14ac:dyDescent="0.2">
      <c r="A14" s="780" t="s">
        <v>354</v>
      </c>
      <c r="B14" s="780"/>
      <c r="C14" s="780"/>
      <c r="D14" s="560">
        <f>'Rooms Division Income Statement'!N21</f>
        <v>2764385.75</v>
      </c>
      <c r="E14" s="721">
        <f>D14/D17</f>
        <v>0.47598621077937164</v>
      </c>
    </row>
    <row r="15" spans="1:6" x14ac:dyDescent="0.2">
      <c r="A15" s="781" t="s">
        <v>355</v>
      </c>
      <c r="B15" s="781"/>
      <c r="C15" s="781"/>
      <c r="D15" s="73">
        <f>'F&amp;B Income Statement'!N31</f>
        <v>2704735.5658750003</v>
      </c>
      <c r="E15" s="721">
        <f>D15/D17</f>
        <v>0.46571533410669652</v>
      </c>
    </row>
    <row r="16" spans="1:6" x14ac:dyDescent="0.2">
      <c r="A16" s="764" t="s">
        <v>356</v>
      </c>
      <c r="B16" s="765"/>
      <c r="C16" s="766"/>
      <c r="D16" s="72">
        <f>'Rooms Division Income Statement'!N27</f>
        <v>338580.01537499996</v>
      </c>
      <c r="E16" s="721">
        <f>D16/D17</f>
        <v>5.8298455113931773E-2</v>
      </c>
    </row>
    <row r="17" spans="1:5" x14ac:dyDescent="0.2">
      <c r="A17" s="782" t="s">
        <v>379</v>
      </c>
      <c r="B17" s="782"/>
      <c r="C17" s="782"/>
      <c r="D17" s="561">
        <f>SUM(D14:D16)</f>
        <v>5807701.3312500007</v>
      </c>
      <c r="E17" s="722">
        <f>D17/D17</f>
        <v>1</v>
      </c>
    </row>
    <row r="18" spans="1:5" x14ac:dyDescent="0.2">
      <c r="A18" s="71"/>
      <c r="B18" s="70"/>
      <c r="C18" s="69"/>
      <c r="E18" s="723"/>
    </row>
    <row r="19" spans="1:5" x14ac:dyDescent="0.2">
      <c r="A19" s="748" t="s">
        <v>357</v>
      </c>
      <c r="B19" s="748"/>
      <c r="C19" s="748"/>
      <c r="E19" s="723"/>
    </row>
    <row r="20" spans="1:5" x14ac:dyDescent="0.2">
      <c r="A20" s="773" t="s">
        <v>188</v>
      </c>
      <c r="B20" s="774"/>
      <c r="C20" s="775"/>
      <c r="D20" s="562">
        <f>'Rooms Division Income Statement'!N38</f>
        <v>1471429.7303749998</v>
      </c>
      <c r="E20" s="724">
        <f>D20/D22</f>
        <v>0.51120446512163897</v>
      </c>
    </row>
    <row r="21" spans="1:5" x14ac:dyDescent="0.2">
      <c r="A21" s="749" t="s">
        <v>355</v>
      </c>
      <c r="B21" s="749"/>
      <c r="C21" s="749"/>
      <c r="D21" s="562">
        <f>'F&amp;B Income Statement'!N41</f>
        <v>1406928.7949655</v>
      </c>
      <c r="E21" s="721">
        <f>D21/D22</f>
        <v>0.48879553487836103</v>
      </c>
    </row>
    <row r="22" spans="1:5" x14ac:dyDescent="0.2">
      <c r="A22" s="761" t="s">
        <v>191</v>
      </c>
      <c r="B22" s="762"/>
      <c r="C22" s="763"/>
      <c r="D22" s="563">
        <f>SUM(D20:D21)</f>
        <v>2878358.5253404998</v>
      </c>
      <c r="E22" s="723"/>
    </row>
    <row r="23" spans="1:5" x14ac:dyDescent="0.2">
      <c r="A23" s="705"/>
      <c r="B23" s="706"/>
      <c r="C23" s="707"/>
      <c r="D23" s="708"/>
      <c r="E23" s="723"/>
    </row>
    <row r="24" spans="1:5" x14ac:dyDescent="0.2">
      <c r="A24" s="754" t="s">
        <v>358</v>
      </c>
      <c r="B24" s="754"/>
      <c r="C24" s="754"/>
      <c r="D24" s="563">
        <f>D17-D22</f>
        <v>2929342.8059095009</v>
      </c>
      <c r="E24" s="721">
        <f>D24/D17</f>
        <v>0.5043893683284526</v>
      </c>
    </row>
    <row r="25" spans="1:5" x14ac:dyDescent="0.2">
      <c r="A25" s="755"/>
      <c r="B25" s="756"/>
      <c r="C25" s="756"/>
      <c r="E25" s="723"/>
    </row>
    <row r="26" spans="1:5" x14ac:dyDescent="0.2">
      <c r="A26" s="752"/>
      <c r="B26" s="752"/>
      <c r="C26" s="753"/>
      <c r="D26" s="67"/>
      <c r="E26" s="723"/>
    </row>
    <row r="27" spans="1:5" x14ac:dyDescent="0.2">
      <c r="A27" s="751" t="s">
        <v>359</v>
      </c>
      <c r="B27" s="751"/>
      <c r="C27" s="751"/>
      <c r="D27" s="709"/>
      <c r="E27" s="723"/>
    </row>
    <row r="28" spans="1:5" x14ac:dyDescent="0.2">
      <c r="A28" s="747" t="s">
        <v>249</v>
      </c>
      <c r="B28" s="747"/>
      <c r="C28" s="747"/>
      <c r="D28" s="28">
        <v>186200</v>
      </c>
      <c r="E28" s="721">
        <f>D28/D17</f>
        <v>3.2060877338525924E-2</v>
      </c>
    </row>
    <row r="29" spans="1:5" x14ac:dyDescent="0.2">
      <c r="A29" s="747" t="s">
        <v>158</v>
      </c>
      <c r="B29" s="747"/>
      <c r="C29" s="747"/>
      <c r="D29" s="28">
        <v>150000</v>
      </c>
      <c r="E29" s="721">
        <f>D29/D17</f>
        <v>2.5827774440273302E-2</v>
      </c>
    </row>
    <row r="30" spans="1:5" x14ac:dyDescent="0.2">
      <c r="A30" s="747" t="s">
        <v>361</v>
      </c>
      <c r="B30" s="747"/>
      <c r="C30" s="747"/>
      <c r="D30" s="28">
        <v>250000</v>
      </c>
      <c r="E30" s="721">
        <f>D30/D17</f>
        <v>4.3046290733788836E-2</v>
      </c>
    </row>
    <row r="31" spans="1:5" x14ac:dyDescent="0.2">
      <c r="A31" s="747" t="s">
        <v>360</v>
      </c>
      <c r="B31" s="747"/>
      <c r="C31" s="747"/>
      <c r="D31" s="28">
        <v>86000</v>
      </c>
      <c r="E31" s="721">
        <f>D31/D17</f>
        <v>1.4807924012423359E-2</v>
      </c>
    </row>
    <row r="32" spans="1:5" x14ac:dyDescent="0.2">
      <c r="A32" s="747" t="s">
        <v>362</v>
      </c>
      <c r="B32" s="747"/>
      <c r="C32" s="747"/>
      <c r="D32" s="28">
        <v>166000</v>
      </c>
      <c r="E32" s="721">
        <f>D32/D17</f>
        <v>2.8582737047235789E-2</v>
      </c>
    </row>
    <row r="33" spans="1:5" x14ac:dyDescent="0.2">
      <c r="A33" s="710" t="s">
        <v>81</v>
      </c>
      <c r="B33" s="710"/>
      <c r="C33" s="710"/>
      <c r="D33" s="711">
        <f>SUM(D28:D32)</f>
        <v>838200</v>
      </c>
      <c r="E33" s="721">
        <f>D33/D17</f>
        <v>0.14432560357224722</v>
      </c>
    </row>
    <row r="34" spans="1:5" x14ac:dyDescent="0.2">
      <c r="A34" s="756"/>
      <c r="B34" s="756"/>
      <c r="C34" s="756"/>
      <c r="D34" s="67"/>
      <c r="E34" s="723"/>
    </row>
    <row r="35" spans="1:5" x14ac:dyDescent="0.2">
      <c r="A35" s="757" t="s">
        <v>363</v>
      </c>
      <c r="B35" s="751"/>
      <c r="C35" s="751"/>
      <c r="D35" s="564">
        <f>D24-D33</f>
        <v>2091142.8059095009</v>
      </c>
      <c r="E35" s="721">
        <f>D35/D17</f>
        <v>0.36006376475620533</v>
      </c>
    </row>
    <row r="36" spans="1:5" x14ac:dyDescent="0.2">
      <c r="A36" s="759"/>
      <c r="B36" s="759"/>
      <c r="C36" s="760"/>
      <c r="D36" s="67"/>
      <c r="E36" s="721"/>
    </row>
    <row r="37" spans="1:5" x14ac:dyDescent="0.2">
      <c r="A37" s="747" t="s">
        <v>364</v>
      </c>
      <c r="B37" s="747"/>
      <c r="C37" s="747"/>
      <c r="D37" s="28">
        <v>94000</v>
      </c>
      <c r="E37" s="721">
        <f>D37/D17</f>
        <v>1.6185405315904601E-2</v>
      </c>
    </row>
    <row r="38" spans="1:5" x14ac:dyDescent="0.2">
      <c r="D38" s="67"/>
      <c r="E38" s="721"/>
    </row>
    <row r="39" spans="1:5" x14ac:dyDescent="0.2">
      <c r="A39" s="758" t="s">
        <v>365</v>
      </c>
      <c r="B39" s="758"/>
      <c r="C39" s="758"/>
      <c r="D39" s="564">
        <f>D35-D37</f>
        <v>1997142.8059095009</v>
      </c>
      <c r="E39" s="721">
        <f>D39/D17</f>
        <v>0.34387835944030076</v>
      </c>
    </row>
    <row r="40" spans="1:5" x14ac:dyDescent="0.2">
      <c r="A40" s="756" t="s">
        <v>166</v>
      </c>
      <c r="B40" s="756"/>
      <c r="C40" s="756"/>
      <c r="D40" s="67">
        <v>0</v>
      </c>
      <c r="E40" s="721"/>
    </row>
    <row r="41" spans="1:5" x14ac:dyDescent="0.2">
      <c r="A41" s="747" t="s">
        <v>366</v>
      </c>
      <c r="B41" s="747"/>
      <c r="C41" s="747"/>
      <c r="D41" s="28">
        <v>75000</v>
      </c>
      <c r="E41" s="721">
        <f>D41/D17</f>
        <v>1.2913887220136651E-2</v>
      </c>
    </row>
    <row r="42" spans="1:5" x14ac:dyDescent="0.2">
      <c r="A42" s="747" t="s">
        <v>367</v>
      </c>
      <c r="B42" s="747"/>
      <c r="C42" s="747"/>
      <c r="D42" s="28">
        <v>81300</v>
      </c>
      <c r="E42" s="721">
        <f>D42/D17</f>
        <v>1.3998653746628131E-2</v>
      </c>
    </row>
    <row r="43" spans="1:5" x14ac:dyDescent="0.2">
      <c r="A43" s="756" t="s">
        <v>81</v>
      </c>
      <c r="B43" s="756"/>
      <c r="C43" s="756"/>
      <c r="D43" s="67">
        <f>SUM(D40:D42)</f>
        <v>156300</v>
      </c>
      <c r="E43" s="721">
        <f>D43/D17</f>
        <v>2.6912540966764781E-2</v>
      </c>
    </row>
    <row r="44" spans="1:5" x14ac:dyDescent="0.2">
      <c r="A44" s="758" t="s">
        <v>167</v>
      </c>
      <c r="B44" s="758"/>
      <c r="C44" s="758"/>
      <c r="D44" s="565">
        <f>D39-D43</f>
        <v>1840842.8059095009</v>
      </c>
      <c r="E44" s="721">
        <f>D44/D17</f>
        <v>0.31696581847353594</v>
      </c>
    </row>
    <row r="45" spans="1:5" x14ac:dyDescent="0.2">
      <c r="A45" s="750" t="s">
        <v>129</v>
      </c>
      <c r="B45" s="750"/>
      <c r="C45" s="750"/>
      <c r="D45" s="67">
        <v>1</v>
      </c>
      <c r="E45" s="723"/>
    </row>
    <row r="46" spans="1:5" x14ac:dyDescent="0.2">
      <c r="A46" s="712" t="s">
        <v>368</v>
      </c>
      <c r="B46" s="712"/>
      <c r="C46" s="712"/>
      <c r="D46" s="2">
        <v>1</v>
      </c>
      <c r="E46" s="723"/>
    </row>
    <row r="47" spans="1:5" x14ac:dyDescent="0.2">
      <c r="A47" s="712" t="s">
        <v>369</v>
      </c>
      <c r="B47" s="712"/>
      <c r="C47" s="712"/>
      <c r="D47" s="2">
        <v>1</v>
      </c>
      <c r="E47" s="723"/>
    </row>
    <row r="48" spans="1:5" x14ac:dyDescent="0.2">
      <c r="A48" s="712" t="s">
        <v>370</v>
      </c>
      <c r="B48" s="712"/>
      <c r="C48" s="712"/>
      <c r="D48" s="2">
        <v>1</v>
      </c>
      <c r="E48" s="723"/>
    </row>
    <row r="49" spans="1:5" x14ac:dyDescent="0.2">
      <c r="E49" s="723"/>
    </row>
    <row r="50" spans="1:5" x14ac:dyDescent="0.2">
      <c r="A50" s="713" t="s">
        <v>371</v>
      </c>
      <c r="B50" s="713"/>
      <c r="C50" s="713"/>
      <c r="D50" s="714">
        <f>D44-SUM(D45:D48)</f>
        <v>1840838.8059095009</v>
      </c>
      <c r="E50" s="721">
        <f>D50/D17</f>
        <v>0.31696512973288421</v>
      </c>
    </row>
    <row r="51" spans="1:5" x14ac:dyDescent="0.2">
      <c r="A51" s="713" t="s">
        <v>246</v>
      </c>
      <c r="B51" s="713"/>
      <c r="C51" s="713"/>
      <c r="D51" s="714">
        <f>D50*0.25</f>
        <v>460209.70147737523</v>
      </c>
      <c r="E51" s="721">
        <f>D51/D17</f>
        <v>7.9241282433221052E-2</v>
      </c>
    </row>
    <row r="52" spans="1:5" x14ac:dyDescent="0.2">
      <c r="A52" s="713" t="s">
        <v>372</v>
      </c>
      <c r="B52" s="713"/>
      <c r="C52" s="713"/>
      <c r="D52" s="714">
        <f>D50-D51</f>
        <v>1380629.1044321256</v>
      </c>
      <c r="E52" s="721">
        <f>D52/D17</f>
        <v>0.23772384729966314</v>
      </c>
    </row>
    <row r="75" spans="7:8" x14ac:dyDescent="0.2">
      <c r="G75" s="66"/>
      <c r="H75" s="66"/>
    </row>
  </sheetData>
  <mergeCells count="38">
    <mergeCell ref="A22:C22"/>
    <mergeCell ref="A16:C16"/>
    <mergeCell ref="A1:C3"/>
    <mergeCell ref="A4:C4"/>
    <mergeCell ref="A5:C5"/>
    <mergeCell ref="A6:C6"/>
    <mergeCell ref="A7:C7"/>
    <mergeCell ref="A8:C8"/>
    <mergeCell ref="A20:C20"/>
    <mergeCell ref="A10:C10"/>
    <mergeCell ref="A11:C11"/>
    <mergeCell ref="A9:C9"/>
    <mergeCell ref="A13:C13"/>
    <mergeCell ref="A14:C14"/>
    <mergeCell ref="A15:C15"/>
    <mergeCell ref="A17:C17"/>
    <mergeCell ref="A19:C19"/>
    <mergeCell ref="A21:C21"/>
    <mergeCell ref="A45:C45"/>
    <mergeCell ref="A42:C42"/>
    <mergeCell ref="A27:C27"/>
    <mergeCell ref="A26:C26"/>
    <mergeCell ref="A24:C24"/>
    <mergeCell ref="A25:C25"/>
    <mergeCell ref="A34:C34"/>
    <mergeCell ref="A35:C35"/>
    <mergeCell ref="A43:C43"/>
    <mergeCell ref="A44:C44"/>
    <mergeCell ref="A36:C36"/>
    <mergeCell ref="A37:C37"/>
    <mergeCell ref="A39:C39"/>
    <mergeCell ref="A40:C40"/>
    <mergeCell ref="A41:C41"/>
    <mergeCell ref="A28:C28"/>
    <mergeCell ref="A29:C29"/>
    <mergeCell ref="A30:C30"/>
    <mergeCell ref="A31:C31"/>
    <mergeCell ref="A32:C3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DD78-76A2-4FD0-81C8-39BF1AB65773}">
  <dimension ref="A1:R70"/>
  <sheetViews>
    <sheetView tabSelected="1" topLeftCell="E30" zoomScale="46" workbookViewId="0">
      <selection activeCell="F45" sqref="F45"/>
    </sheetView>
  </sheetViews>
  <sheetFormatPr defaultColWidth="8.47265625" defaultRowHeight="15" x14ac:dyDescent="0.2"/>
  <cols>
    <col min="1" max="1" width="13.5859375" style="65" customWidth="1"/>
    <col min="2" max="2" width="5.109375" style="65" customWidth="1"/>
    <col min="3" max="3" width="12.23828125" style="65" customWidth="1"/>
    <col min="4" max="4" width="16.140625" style="2" customWidth="1"/>
    <col min="5" max="6" width="16.0078125" bestFit="1" customWidth="1"/>
    <col min="7" max="7" width="20.984375" bestFit="1" customWidth="1"/>
    <col min="8" max="8" width="18.16015625" bestFit="1" customWidth="1"/>
    <col min="9" max="9" width="18.96484375" bestFit="1" customWidth="1"/>
    <col min="10" max="10" width="18.16015625" bestFit="1" customWidth="1"/>
    <col min="11" max="11" width="50.578125" bestFit="1" customWidth="1"/>
    <col min="12" max="12" width="14.390625" bestFit="1" customWidth="1"/>
    <col min="13" max="18" width="13.1796875" bestFit="1" customWidth="1"/>
  </cols>
  <sheetData>
    <row r="1" spans="1:13" ht="14.45" customHeight="1" x14ac:dyDescent="0.2">
      <c r="A1" s="783" t="s">
        <v>375</v>
      </c>
      <c r="B1" s="784"/>
      <c r="C1" s="784"/>
    </row>
    <row r="2" spans="1:13" ht="14.45" customHeight="1" x14ac:dyDescent="0.2">
      <c r="A2" s="785"/>
      <c r="B2" s="786"/>
      <c r="C2" s="786"/>
      <c r="G2" s="795" t="s">
        <v>172</v>
      </c>
      <c r="H2" s="795"/>
      <c r="I2" s="795" t="s">
        <v>173</v>
      </c>
      <c r="J2" s="795"/>
    </row>
    <row r="3" spans="1:13" ht="15.6" customHeight="1" x14ac:dyDescent="0.2">
      <c r="A3" s="785"/>
      <c r="B3" s="786"/>
      <c r="C3" s="786"/>
      <c r="D3" s="79">
        <v>2025</v>
      </c>
      <c r="E3" s="79">
        <v>2028</v>
      </c>
      <c r="F3" s="79">
        <v>2030</v>
      </c>
      <c r="G3" s="570" t="s">
        <v>337</v>
      </c>
      <c r="H3" s="570" t="s">
        <v>338</v>
      </c>
      <c r="I3" s="570" t="s">
        <v>337</v>
      </c>
      <c r="J3" s="570" t="s">
        <v>338</v>
      </c>
    </row>
    <row r="4" spans="1:13" x14ac:dyDescent="0.2">
      <c r="A4" s="771" t="s">
        <v>21</v>
      </c>
      <c r="B4" s="771"/>
      <c r="C4" s="772"/>
      <c r="D4" s="79">
        <v>35</v>
      </c>
      <c r="E4" s="79">
        <v>35</v>
      </c>
      <c r="F4" s="79">
        <v>35</v>
      </c>
    </row>
    <row r="5" spans="1:13" x14ac:dyDescent="0.2">
      <c r="A5" s="771" t="s">
        <v>22</v>
      </c>
      <c r="B5" s="771"/>
      <c r="C5" s="772"/>
      <c r="D5" s="77">
        <f>35*365</f>
        <v>12775</v>
      </c>
      <c r="E5" s="77">
        <f>35*365</f>
        <v>12775</v>
      </c>
      <c r="F5" s="77">
        <f>35*365</f>
        <v>12775</v>
      </c>
    </row>
    <row r="6" spans="1:13" x14ac:dyDescent="0.2">
      <c r="A6" s="771" t="s">
        <v>134</v>
      </c>
      <c r="B6" s="771"/>
      <c r="C6" s="772"/>
      <c r="D6" s="81">
        <f>D5*D7</f>
        <v>9570.0499999999993</v>
      </c>
      <c r="E6" s="81">
        <f>D6*1.02</f>
        <v>9761.4509999999991</v>
      </c>
      <c r="F6" s="81">
        <f>E6*1.03</f>
        <v>10054.294529999999</v>
      </c>
      <c r="G6" s="84">
        <f t="shared" ref="G6:G12" si="0">E6-D6</f>
        <v>191.40099999999984</v>
      </c>
      <c r="H6" s="83">
        <f t="shared" ref="H6:H12" si="1">G6/D6</f>
        <v>1.9999999999999983E-2</v>
      </c>
      <c r="I6" s="84">
        <f t="shared" ref="I6:I12" si="2">F6-E6</f>
        <v>292.8435300000001</v>
      </c>
      <c r="J6" s="726">
        <f t="shared" ref="J6:J12" si="3">I6/E6</f>
        <v>3.0000000000000013E-2</v>
      </c>
    </row>
    <row r="7" spans="1:13" x14ac:dyDescent="0.2">
      <c r="A7" s="771" t="s">
        <v>135</v>
      </c>
      <c r="B7" s="771"/>
      <c r="C7" s="772"/>
      <c r="D7" s="80">
        <f>'Rooms Division Income Statement'!N7</f>
        <v>0.74912328767123282</v>
      </c>
      <c r="E7" s="80">
        <f>E6/E5</f>
        <v>0.76410575342465747</v>
      </c>
      <c r="F7" s="80">
        <f>F6/F5</f>
        <v>0.78702892602739716</v>
      </c>
      <c r="G7" s="725">
        <f>E7-D7</f>
        <v>1.4982465753424656E-2</v>
      </c>
      <c r="H7" s="83">
        <f t="shared" si="1"/>
        <v>0.02</v>
      </c>
      <c r="I7" s="725">
        <f t="shared" si="2"/>
        <v>2.2923172602739683E-2</v>
      </c>
      <c r="J7" s="726">
        <f t="shared" si="3"/>
        <v>2.9999999999999947E-2</v>
      </c>
    </row>
    <row r="8" spans="1:13" x14ac:dyDescent="0.2">
      <c r="A8" s="771" t="s">
        <v>136</v>
      </c>
      <c r="B8" s="771"/>
      <c r="C8" s="772"/>
      <c r="D8" s="81">
        <f>'Rooms Division Income Statement'!N13</f>
        <v>288.85802582013679</v>
      </c>
      <c r="E8" s="81">
        <f>D8*1.02</f>
        <v>294.6351863365395</v>
      </c>
      <c r="F8" s="81">
        <f>E8*1.03</f>
        <v>303.47424192663567</v>
      </c>
      <c r="G8" s="84">
        <f t="shared" si="0"/>
        <v>5.7771605164027164</v>
      </c>
      <c r="H8" s="83">
        <f t="shared" si="1"/>
        <v>1.9999999999999934E-2</v>
      </c>
      <c r="I8" s="84">
        <f t="shared" si="2"/>
        <v>8.8390555900961658</v>
      </c>
      <c r="J8" s="726">
        <f t="shared" si="3"/>
        <v>2.9999999999999933E-2</v>
      </c>
      <c r="M8" t="s">
        <v>174</v>
      </c>
    </row>
    <row r="9" spans="1:13" x14ac:dyDescent="0.2">
      <c r="A9" s="771" t="s">
        <v>27</v>
      </c>
      <c r="B9" s="771"/>
      <c r="C9" s="772"/>
      <c r="D9" s="81">
        <f>'Rooms Division Income Statement'!N14</f>
        <v>216.39027397260273</v>
      </c>
      <c r="E9" s="81">
        <f>E17/E5</f>
        <v>220.71807945205478</v>
      </c>
      <c r="F9" s="81">
        <f>F17/F5</f>
        <v>227.33962183561641</v>
      </c>
      <c r="G9" s="84">
        <f t="shared" si="0"/>
        <v>4.3278054794520529</v>
      </c>
      <c r="H9" s="83">
        <f t="shared" si="1"/>
        <v>1.9999999999999993E-2</v>
      </c>
      <c r="I9" s="84">
        <f t="shared" si="2"/>
        <v>6.6215423835616321</v>
      </c>
      <c r="J9" s="726">
        <f t="shared" si="3"/>
        <v>2.9999999999999947E-2</v>
      </c>
    </row>
    <row r="10" spans="1:13" x14ac:dyDescent="0.2">
      <c r="A10" s="772" t="s">
        <v>137</v>
      </c>
      <c r="B10" s="779"/>
      <c r="C10" s="779"/>
      <c r="D10" s="81">
        <f>'Rooms Division Income Statement'!N6</f>
        <v>1.9593954577039825</v>
      </c>
      <c r="E10" s="81">
        <f>D10</f>
        <v>1.9593954577039825</v>
      </c>
      <c r="F10" s="81">
        <f>E10</f>
        <v>1.9593954577039825</v>
      </c>
      <c r="G10" s="84">
        <f t="shared" si="0"/>
        <v>0</v>
      </c>
      <c r="H10" s="83">
        <f t="shared" si="1"/>
        <v>0</v>
      </c>
      <c r="I10" s="84">
        <f t="shared" si="2"/>
        <v>0</v>
      </c>
      <c r="J10" s="726">
        <f t="shared" si="3"/>
        <v>0</v>
      </c>
    </row>
    <row r="11" spans="1:13" x14ac:dyDescent="0.2">
      <c r="A11" s="771" t="s">
        <v>29</v>
      </c>
      <c r="B11" s="771"/>
      <c r="C11" s="772"/>
      <c r="D11" s="77">
        <f>D10*D6</f>
        <v>18751.512499999997</v>
      </c>
      <c r="E11" s="720">
        <f>E10*E6</f>
        <v>19126.542749999997</v>
      </c>
      <c r="F11" s="720">
        <f>F10*F6</f>
        <v>19700.339032499996</v>
      </c>
      <c r="G11" s="84">
        <f t="shared" si="0"/>
        <v>375.0302499999998</v>
      </c>
      <c r="H11" s="83">
        <f t="shared" si="1"/>
        <v>1.9999999999999993E-2</v>
      </c>
      <c r="I11" s="84">
        <f t="shared" si="2"/>
        <v>573.79628249999951</v>
      </c>
      <c r="J11" s="726">
        <f t="shared" si="3"/>
        <v>2.9999999999999978E-2</v>
      </c>
    </row>
    <row r="12" spans="1:13" x14ac:dyDescent="0.2">
      <c r="A12" s="771" t="s">
        <v>30</v>
      </c>
      <c r="B12" s="771"/>
      <c r="C12" s="772"/>
      <c r="D12" s="355">
        <f>'Rooms Division Income Statement'!N18</f>
        <v>2.0249999999999999</v>
      </c>
      <c r="E12" s="81">
        <f>D12*1</f>
        <v>2.0249999999999999</v>
      </c>
      <c r="F12" s="81">
        <f>E12*1</f>
        <v>2.0249999999999999</v>
      </c>
      <c r="G12" s="84">
        <f t="shared" si="0"/>
        <v>0</v>
      </c>
      <c r="H12" s="83">
        <f t="shared" si="1"/>
        <v>0</v>
      </c>
      <c r="I12" s="84">
        <f t="shared" si="2"/>
        <v>0</v>
      </c>
      <c r="J12" s="726">
        <f t="shared" si="3"/>
        <v>0</v>
      </c>
    </row>
    <row r="13" spans="1:13" x14ac:dyDescent="0.2">
      <c r="A13" s="776"/>
      <c r="B13" s="777"/>
      <c r="C13" s="777"/>
    </row>
    <row r="14" spans="1:13" x14ac:dyDescent="0.2">
      <c r="A14" s="778" t="s">
        <v>138</v>
      </c>
      <c r="B14" s="778"/>
      <c r="C14" s="778"/>
      <c r="D14" s="559">
        <f>D17+D32</f>
        <v>5469121.3158749994</v>
      </c>
      <c r="E14" s="559">
        <f>E17++E32</f>
        <v>5578503.7421924993</v>
      </c>
      <c r="F14" s="559">
        <f>F17+F32</f>
        <v>5745858.8544582743</v>
      </c>
      <c r="G14" s="84">
        <f>E14-D14</f>
        <v>109382.42631749995</v>
      </c>
      <c r="H14" s="83">
        <f>G14/D14</f>
        <v>1.9999999999999993E-2</v>
      </c>
      <c r="I14" s="84">
        <f>F14-E14</f>
        <v>167355.11226577498</v>
      </c>
      <c r="J14" s="83">
        <f>I14/E14</f>
        <v>0.03</v>
      </c>
    </row>
    <row r="15" spans="1:13" x14ac:dyDescent="0.2">
      <c r="A15" s="76"/>
      <c r="B15" s="75"/>
      <c r="C15" s="74"/>
      <c r="F15" s="78"/>
    </row>
    <row r="16" spans="1:13" x14ac:dyDescent="0.2">
      <c r="A16" s="748" t="s">
        <v>139</v>
      </c>
      <c r="B16" s="748"/>
      <c r="C16" s="748"/>
      <c r="F16" s="78"/>
    </row>
    <row r="17" spans="1:10" x14ac:dyDescent="0.2">
      <c r="A17" s="787" t="s">
        <v>354</v>
      </c>
      <c r="B17" s="787"/>
      <c r="C17" s="787"/>
      <c r="D17" s="560">
        <f>'Rooms Division Income Statement'!N21</f>
        <v>2764385.75</v>
      </c>
      <c r="E17" s="560">
        <f t="shared" ref="E17:E22" si="4">D17*1.02</f>
        <v>2819673.4649999999</v>
      </c>
      <c r="F17" s="560">
        <f>E17*1.03</f>
        <v>2904263.6689499998</v>
      </c>
      <c r="G17" s="84">
        <f t="shared" ref="G17:G26" si="5">E17-D17</f>
        <v>55287.714999999851</v>
      </c>
      <c r="H17" s="83">
        <f t="shared" ref="H17:H26" si="6">G17/D17</f>
        <v>1.9999999999999945E-2</v>
      </c>
      <c r="I17" s="84">
        <f t="shared" ref="I17:I26" si="7">F17-E17</f>
        <v>84590.203949999996</v>
      </c>
      <c r="J17" s="83">
        <f t="shared" ref="J17:J26" si="8">I17/E17</f>
        <v>0.03</v>
      </c>
    </row>
    <row r="18" spans="1:10" x14ac:dyDescent="0.2">
      <c r="A18" s="788" t="s">
        <v>140</v>
      </c>
      <c r="B18" s="788"/>
      <c r="C18" s="788"/>
      <c r="D18" s="73">
        <f>'Rooms Division Income Statement'!P12</f>
        <v>553019.28750000009</v>
      </c>
      <c r="E18" s="88">
        <f t="shared" si="4"/>
        <v>564079.67325000011</v>
      </c>
      <c r="F18" s="88">
        <f>E18*1.03</f>
        <v>581002.06344750011</v>
      </c>
      <c r="G18" s="84">
        <f t="shared" si="5"/>
        <v>11060.385750000016</v>
      </c>
      <c r="H18" s="83">
        <f t="shared" si="6"/>
        <v>2.0000000000000025E-2</v>
      </c>
      <c r="I18" s="84">
        <f t="shared" si="7"/>
        <v>16922.390197500004</v>
      </c>
      <c r="J18" s="83">
        <f t="shared" si="8"/>
        <v>3.0000000000000002E-2</v>
      </c>
    </row>
    <row r="19" spans="1:10" x14ac:dyDescent="0.2">
      <c r="A19" s="788" t="s">
        <v>141</v>
      </c>
      <c r="B19" s="788"/>
      <c r="C19" s="788"/>
      <c r="D19" s="21">
        <f>'Rooms Division Income Statement'!N37</f>
        <v>248794.7175</v>
      </c>
      <c r="E19" s="88">
        <f t="shared" si="4"/>
        <v>253770.61185000002</v>
      </c>
      <c r="F19" s="88">
        <f>E19*1.02</f>
        <v>258846.02408700003</v>
      </c>
      <c r="G19" s="84">
        <f t="shared" si="5"/>
        <v>4975.8943500000169</v>
      </c>
      <c r="H19" s="83">
        <f t="shared" si="6"/>
        <v>2.0000000000000066E-2</v>
      </c>
      <c r="I19" s="84">
        <f t="shared" si="7"/>
        <v>5075.4122370000114</v>
      </c>
      <c r="J19" s="83">
        <f t="shared" si="8"/>
        <v>2.0000000000000042E-2</v>
      </c>
    </row>
    <row r="20" spans="1:10" x14ac:dyDescent="0.2">
      <c r="A20" s="772" t="s">
        <v>142</v>
      </c>
      <c r="B20" s="779"/>
      <c r="C20" s="789"/>
      <c r="D20" s="72">
        <f>'Rooms Division Income Statement'!N27</f>
        <v>338580.01537499996</v>
      </c>
      <c r="E20" s="88">
        <f t="shared" si="4"/>
        <v>345351.61568249995</v>
      </c>
      <c r="F20" s="88">
        <f t="shared" ref="F20:F25" si="9">E20*1.03</f>
        <v>355712.16415297496</v>
      </c>
      <c r="G20" s="84">
        <f t="shared" si="5"/>
        <v>6771.6003074999899</v>
      </c>
      <c r="H20" s="83">
        <f t="shared" si="6"/>
        <v>1.9999999999999973E-2</v>
      </c>
      <c r="I20" s="84">
        <f t="shared" si="7"/>
        <v>10360.548470475012</v>
      </c>
      <c r="J20" s="83">
        <f t="shared" si="8"/>
        <v>3.0000000000000041E-2</v>
      </c>
    </row>
    <row r="21" spans="1:10" x14ac:dyDescent="0.2">
      <c r="A21" s="772" t="s">
        <v>143</v>
      </c>
      <c r="B21" s="779"/>
      <c r="C21" s="789"/>
      <c r="D21" s="21">
        <f>'Rooms Division Income Statement'!N32</f>
        <v>57420.3</v>
      </c>
      <c r="E21" s="88">
        <f t="shared" si="4"/>
        <v>58568.706000000006</v>
      </c>
      <c r="F21" s="88">
        <f t="shared" si="9"/>
        <v>60325.76718000001</v>
      </c>
      <c r="G21" s="84">
        <f t="shared" si="5"/>
        <v>1148.4060000000027</v>
      </c>
      <c r="H21" s="83">
        <f t="shared" si="6"/>
        <v>2.0000000000000046E-2</v>
      </c>
      <c r="I21" s="84">
        <f t="shared" si="7"/>
        <v>1757.0611800000042</v>
      </c>
      <c r="J21" s="83">
        <f t="shared" si="8"/>
        <v>3.0000000000000068E-2</v>
      </c>
    </row>
    <row r="22" spans="1:10" x14ac:dyDescent="0.2">
      <c r="A22" s="772" t="s">
        <v>144</v>
      </c>
      <c r="B22" s="779"/>
      <c r="C22" s="789"/>
      <c r="D22" s="21">
        <f>'Rooms Division Income Statement'!N33</f>
        <v>3739.9999999999995</v>
      </c>
      <c r="E22" s="88">
        <f t="shared" si="4"/>
        <v>3814.7999999999997</v>
      </c>
      <c r="F22" s="88">
        <f t="shared" si="9"/>
        <v>3929.2439999999997</v>
      </c>
      <c r="G22" s="84">
        <f t="shared" si="5"/>
        <v>74.800000000000182</v>
      </c>
      <c r="H22" s="83">
        <f t="shared" si="6"/>
        <v>2.0000000000000052E-2</v>
      </c>
      <c r="I22" s="84">
        <f t="shared" si="7"/>
        <v>114.44399999999996</v>
      </c>
      <c r="J22" s="83">
        <f t="shared" si="8"/>
        <v>2.9999999999999992E-2</v>
      </c>
    </row>
    <row r="23" spans="1:10" x14ac:dyDescent="0.2">
      <c r="A23" s="772" t="s">
        <v>145</v>
      </c>
      <c r="B23" s="779"/>
      <c r="C23" s="789"/>
      <c r="D23" s="21">
        <f>'Rooms Division Income Statement'!N34</f>
        <v>239251.25</v>
      </c>
      <c r="E23" s="88">
        <f>D23*1.02</f>
        <v>244036.27499999999</v>
      </c>
      <c r="F23" s="88">
        <f t="shared" si="9"/>
        <v>251357.36324999999</v>
      </c>
      <c r="G23" s="84">
        <f t="shared" si="5"/>
        <v>4785.0249999999942</v>
      </c>
      <c r="H23" s="83">
        <f t="shared" si="6"/>
        <v>1.9999999999999976E-2</v>
      </c>
      <c r="I23" s="84">
        <f t="shared" si="7"/>
        <v>7321.0882500000007</v>
      </c>
      <c r="J23" s="83">
        <f t="shared" si="8"/>
        <v>3.0000000000000002E-2</v>
      </c>
    </row>
    <row r="24" spans="1:10" x14ac:dyDescent="0.2">
      <c r="A24" s="772" t="s">
        <v>146</v>
      </c>
      <c r="B24" s="779"/>
      <c r="C24" s="789"/>
      <c r="D24" s="21">
        <f>'Rooms Division Income Statement'!N36</f>
        <v>11484.060000000001</v>
      </c>
      <c r="E24" s="88">
        <f>D24*1.02</f>
        <v>11713.741200000002</v>
      </c>
      <c r="F24" s="88">
        <f t="shared" si="9"/>
        <v>12065.153436000002</v>
      </c>
      <c r="G24" s="84">
        <f t="shared" si="5"/>
        <v>229.6812000000009</v>
      </c>
      <c r="H24" s="83">
        <f t="shared" si="6"/>
        <v>2.0000000000000077E-2</v>
      </c>
      <c r="I24" s="84">
        <f t="shared" si="7"/>
        <v>351.41223600000012</v>
      </c>
      <c r="J24" s="83">
        <f t="shared" si="8"/>
        <v>3.0000000000000006E-2</v>
      </c>
    </row>
    <row r="25" spans="1:10" x14ac:dyDescent="0.2">
      <c r="A25" s="772" t="s">
        <v>47</v>
      </c>
      <c r="B25" s="779"/>
      <c r="C25" s="789"/>
      <c r="D25" s="21">
        <f>SUM(D18:D24)</f>
        <v>1452289.6303750002</v>
      </c>
      <c r="E25" s="88">
        <f>D25*1.02</f>
        <v>1481335.4229825002</v>
      </c>
      <c r="F25" s="88">
        <f t="shared" si="9"/>
        <v>1525775.4856719752</v>
      </c>
      <c r="G25" s="84">
        <f t="shared" si="5"/>
        <v>29045.792607499985</v>
      </c>
      <c r="H25" s="83">
        <f t="shared" si="6"/>
        <v>1.9999999999999987E-2</v>
      </c>
      <c r="I25" s="84">
        <f t="shared" si="7"/>
        <v>44440.062689475017</v>
      </c>
      <c r="J25" s="83">
        <f t="shared" si="8"/>
        <v>3.0000000000000009E-2</v>
      </c>
    </row>
    <row r="26" spans="1:10" x14ac:dyDescent="0.2">
      <c r="A26" s="790" t="s">
        <v>147</v>
      </c>
      <c r="B26" s="790"/>
      <c r="C26" s="790"/>
      <c r="D26" s="561">
        <f>D17-D25</f>
        <v>1312096.1196249998</v>
      </c>
      <c r="E26" s="561">
        <f>E17-E25</f>
        <v>1338338.0420174997</v>
      </c>
      <c r="F26" s="561">
        <f>F17-F25</f>
        <v>1378488.1832780247</v>
      </c>
      <c r="G26" s="84">
        <f t="shared" si="5"/>
        <v>26241.922392499866</v>
      </c>
      <c r="H26" s="83">
        <f t="shared" si="6"/>
        <v>1.99999999999999E-2</v>
      </c>
      <c r="I26" s="84">
        <f t="shared" si="7"/>
        <v>40150.141260524979</v>
      </c>
      <c r="J26" s="83">
        <f t="shared" si="8"/>
        <v>2.9999999999999992E-2</v>
      </c>
    </row>
    <row r="27" spans="1:10" x14ac:dyDescent="0.2">
      <c r="A27" s="71"/>
      <c r="B27" s="70"/>
      <c r="C27" s="69"/>
      <c r="F27" s="86"/>
    </row>
    <row r="28" spans="1:10" x14ac:dyDescent="0.2">
      <c r="A28" s="748" t="s">
        <v>148</v>
      </c>
      <c r="B28" s="748"/>
      <c r="C28" s="748"/>
      <c r="F28" s="86"/>
    </row>
    <row r="29" spans="1:10" x14ac:dyDescent="0.2">
      <c r="A29" s="773" t="s">
        <v>149</v>
      </c>
      <c r="B29" s="774"/>
      <c r="C29" s="775"/>
      <c r="D29" s="562">
        <f>'F&amp;B Income Statement'!N28</f>
        <v>1896470.485875</v>
      </c>
      <c r="E29" s="562">
        <f>D29*1.02</f>
        <v>1934399.8955925</v>
      </c>
      <c r="F29" s="562">
        <f t="shared" ref="F29:F34" si="10">E29*1.03</f>
        <v>1992431.892460275</v>
      </c>
      <c r="G29" s="84">
        <f t="shared" ref="G29:G40" si="11">E29-D29</f>
        <v>37929.409717499977</v>
      </c>
      <c r="H29" s="83">
        <f t="shared" ref="H29:H40" si="12">G29/D29</f>
        <v>1.9999999999999987E-2</v>
      </c>
      <c r="I29" s="84">
        <f t="shared" ref="I29:I40" si="13">F29-E29</f>
        <v>58031.996867774986</v>
      </c>
      <c r="J29" s="83">
        <f>I29/E29</f>
        <v>2.9999999999999992E-2</v>
      </c>
    </row>
    <row r="30" spans="1:10" x14ac:dyDescent="0.2">
      <c r="A30" s="749" t="s">
        <v>150</v>
      </c>
      <c r="B30" s="749"/>
      <c r="C30" s="749"/>
      <c r="D30" s="562">
        <f>'F&amp;B Income Statement'!N29</f>
        <v>808265.08</v>
      </c>
      <c r="E30" s="562">
        <f>D30*1.02</f>
        <v>824430.38159999996</v>
      </c>
      <c r="F30" s="562">
        <f t="shared" si="10"/>
        <v>849163.29304799996</v>
      </c>
      <c r="G30" s="84">
        <f t="shared" si="11"/>
        <v>16165.301600000006</v>
      </c>
      <c r="H30" s="83">
        <f t="shared" si="12"/>
        <v>2.0000000000000007E-2</v>
      </c>
      <c r="I30" s="84">
        <f t="shared" si="13"/>
        <v>24732.911447999999</v>
      </c>
      <c r="J30" s="83">
        <f t="shared" ref="J30:J40" si="14">I30/E30</f>
        <v>0.03</v>
      </c>
    </row>
    <row r="31" spans="1:10" x14ac:dyDescent="0.2">
      <c r="A31" s="773" t="s">
        <v>151</v>
      </c>
      <c r="B31" s="774"/>
      <c r="C31" s="775"/>
      <c r="D31" s="562">
        <f>D29+D30</f>
        <v>2704735.5658749999</v>
      </c>
      <c r="E31" s="562">
        <f>D31*1.02</f>
        <v>2758830.2771925</v>
      </c>
      <c r="F31" s="562">
        <f t="shared" si="10"/>
        <v>2841595.1855082749</v>
      </c>
      <c r="G31" s="84">
        <f t="shared" si="11"/>
        <v>54094.7113175001</v>
      </c>
      <c r="H31" s="83">
        <f t="shared" si="12"/>
        <v>2.0000000000000039E-2</v>
      </c>
      <c r="I31" s="84">
        <f t="shared" si="13"/>
        <v>82764.908315774985</v>
      </c>
      <c r="J31" s="83">
        <f t="shared" si="14"/>
        <v>2.9999999999999995E-2</v>
      </c>
    </row>
    <row r="32" spans="1:10" x14ac:dyDescent="0.2">
      <c r="A32" s="791" t="s">
        <v>381</v>
      </c>
      <c r="B32" s="792"/>
      <c r="C32" s="793"/>
      <c r="D32" s="567">
        <f>SUM(D31:D31)</f>
        <v>2704735.5658749999</v>
      </c>
      <c r="E32" s="567">
        <f>SUM(E31:E31)</f>
        <v>2758830.2771925</v>
      </c>
      <c r="F32" s="567">
        <f>F31</f>
        <v>2841595.1855082749</v>
      </c>
      <c r="G32" s="84">
        <f t="shared" si="11"/>
        <v>54094.7113175001</v>
      </c>
      <c r="H32" s="83">
        <f t="shared" si="12"/>
        <v>2.0000000000000039E-2</v>
      </c>
      <c r="I32" s="84">
        <f t="shared" si="13"/>
        <v>82764.908315774985</v>
      </c>
      <c r="J32" s="83">
        <f t="shared" si="14"/>
        <v>2.9999999999999995E-2</v>
      </c>
    </row>
    <row r="33" spans="1:10" x14ac:dyDescent="0.2">
      <c r="A33" s="794" t="s">
        <v>152</v>
      </c>
      <c r="B33" s="794"/>
      <c r="C33" s="794"/>
      <c r="D33" s="28">
        <f>'F&amp;B Income Statement'!N32</f>
        <v>431610.98981875001</v>
      </c>
      <c r="E33" s="28">
        <f>D33*1.02</f>
        <v>440243.20961512503</v>
      </c>
      <c r="F33" s="28">
        <f t="shared" si="10"/>
        <v>453450.50590357877</v>
      </c>
      <c r="G33" s="84">
        <f t="shared" si="11"/>
        <v>8632.2197963750223</v>
      </c>
      <c r="H33" s="83">
        <f t="shared" si="12"/>
        <v>2.0000000000000052E-2</v>
      </c>
      <c r="I33" s="84">
        <f t="shared" si="13"/>
        <v>13207.296288453741</v>
      </c>
      <c r="J33" s="83">
        <f t="shared" si="14"/>
        <v>2.9999999999999978E-2</v>
      </c>
    </row>
    <row r="34" spans="1:10" x14ac:dyDescent="0.2">
      <c r="A34" s="794" t="s">
        <v>153</v>
      </c>
      <c r="B34" s="794"/>
      <c r="C34" s="794"/>
      <c r="D34" s="28">
        <f>'F&amp;B Income Statement'!N33</f>
        <v>103554.55821599999</v>
      </c>
      <c r="E34" s="28">
        <f>D34*1.02</f>
        <v>105625.64938032</v>
      </c>
      <c r="F34" s="28">
        <f t="shared" si="10"/>
        <v>108794.4188617296</v>
      </c>
      <c r="G34" s="84">
        <f t="shared" si="11"/>
        <v>2071.0911643200088</v>
      </c>
      <c r="H34" s="83">
        <f t="shared" si="12"/>
        <v>2.0000000000000087E-2</v>
      </c>
      <c r="I34" s="84">
        <f t="shared" si="13"/>
        <v>3168.769481409603</v>
      </c>
      <c r="J34" s="83">
        <f t="shared" si="14"/>
        <v>3.000000000000003E-2</v>
      </c>
    </row>
    <row r="35" spans="1:10" x14ac:dyDescent="0.2">
      <c r="A35" s="771" t="s">
        <v>154</v>
      </c>
      <c r="B35" s="771"/>
      <c r="C35" s="771"/>
      <c r="D35" s="28">
        <f>D33+D34</f>
        <v>535165.54803475004</v>
      </c>
      <c r="E35" s="28">
        <f t="shared" ref="E35:F35" si="15">E33+E34</f>
        <v>545868.85899544507</v>
      </c>
      <c r="F35" s="28">
        <f t="shared" si="15"/>
        <v>562244.92476530839</v>
      </c>
      <c r="G35" s="84">
        <f t="shared" si="11"/>
        <v>10703.310960695031</v>
      </c>
      <c r="H35" s="83">
        <f t="shared" si="12"/>
        <v>2.0000000000000056E-2</v>
      </c>
      <c r="I35" s="84">
        <f t="shared" si="13"/>
        <v>16376.065769863315</v>
      </c>
      <c r="J35" s="83">
        <f t="shared" si="14"/>
        <v>2.9999999999999933E-2</v>
      </c>
    </row>
    <row r="36" spans="1:10" x14ac:dyDescent="0.2">
      <c r="A36" s="771" t="s">
        <v>140</v>
      </c>
      <c r="B36" s="771"/>
      <c r="C36" s="771"/>
      <c r="D36" s="28">
        <f>'F&amp;B Income Statement'!N38</f>
        <v>592958.83973537502</v>
      </c>
      <c r="E36" s="28">
        <f>D36*1.02</f>
        <v>604818.01653008256</v>
      </c>
      <c r="F36" s="28">
        <f>E36*1.1</f>
        <v>665299.81818309089</v>
      </c>
      <c r="G36" s="84">
        <f t="shared" si="11"/>
        <v>11859.176794707542</v>
      </c>
      <c r="H36" s="83">
        <f t="shared" si="12"/>
        <v>2.000000000000007E-2</v>
      </c>
      <c r="I36" s="84">
        <f t="shared" si="13"/>
        <v>60481.801653008326</v>
      </c>
      <c r="J36" s="83">
        <f t="shared" si="14"/>
        <v>0.10000000000000012</v>
      </c>
    </row>
    <row r="37" spans="1:10" x14ac:dyDescent="0.2">
      <c r="A37" s="771" t="s">
        <v>155</v>
      </c>
      <c r="B37" s="771"/>
      <c r="C37" s="771"/>
      <c r="D37" s="28">
        <f>'F&amp;B Income Statement'!N37</f>
        <v>5000</v>
      </c>
      <c r="E37" s="28">
        <f>D37*1.01</f>
        <v>5050</v>
      </c>
      <c r="F37" s="28">
        <f>E37*1.02</f>
        <v>5151</v>
      </c>
      <c r="G37" s="84">
        <f t="shared" si="11"/>
        <v>50</v>
      </c>
      <c r="H37" s="83">
        <f t="shared" si="12"/>
        <v>0.01</v>
      </c>
      <c r="I37" s="84">
        <f t="shared" si="13"/>
        <v>101</v>
      </c>
      <c r="J37" s="83">
        <f t="shared" si="14"/>
        <v>0.02</v>
      </c>
    </row>
    <row r="38" spans="1:10" x14ac:dyDescent="0.2">
      <c r="A38" s="771" t="s">
        <v>141</v>
      </c>
      <c r="B38" s="771"/>
      <c r="C38" s="771"/>
      <c r="D38" s="28">
        <f>'F&amp;B Income Statement'!N40</f>
        <v>273804.40719537501</v>
      </c>
      <c r="E38" s="28">
        <f>D38*1.02</f>
        <v>279280.4953392825</v>
      </c>
      <c r="F38" s="28">
        <f>E38*1.03</f>
        <v>287658.91019946098</v>
      </c>
      <c r="G38" s="84">
        <f t="shared" si="11"/>
        <v>5476.0881439074874</v>
      </c>
      <c r="H38" s="83">
        <f t="shared" si="12"/>
        <v>1.9999999999999952E-2</v>
      </c>
      <c r="I38" s="84">
        <f t="shared" si="13"/>
        <v>8378.4148601784837</v>
      </c>
      <c r="J38" s="83">
        <f t="shared" si="14"/>
        <v>3.000000000000003E-2</v>
      </c>
    </row>
    <row r="39" spans="1:10" x14ac:dyDescent="0.2">
      <c r="A39" s="771" t="s">
        <v>47</v>
      </c>
      <c r="B39" s="771"/>
      <c r="C39" s="771"/>
      <c r="D39" s="28">
        <f>SUM(D35:D38)</f>
        <v>1406928.7949655002</v>
      </c>
      <c r="E39" s="28">
        <f t="shared" ref="E39:F39" si="16">SUM(E35:E38)</f>
        <v>1435017.3708648102</v>
      </c>
      <c r="F39" s="28">
        <f t="shared" si="16"/>
        <v>1520354.6531478604</v>
      </c>
      <c r="G39" s="84">
        <f t="shared" si="11"/>
        <v>28088.575899309944</v>
      </c>
      <c r="H39" s="83">
        <f t="shared" si="12"/>
        <v>1.9964461598782412E-2</v>
      </c>
      <c r="I39" s="84">
        <f t="shared" si="13"/>
        <v>85337.282283050241</v>
      </c>
      <c r="J39" s="83">
        <f t="shared" si="14"/>
        <v>5.9467769530637746E-2</v>
      </c>
    </row>
    <row r="40" spans="1:10" x14ac:dyDescent="0.2">
      <c r="A40" s="754" t="s">
        <v>156</v>
      </c>
      <c r="B40" s="754"/>
      <c r="C40" s="754"/>
      <c r="D40" s="563">
        <f>D32-D39</f>
        <v>1297806.7709094996</v>
      </c>
      <c r="E40" s="563">
        <f>E32-E39</f>
        <v>1323812.9063276898</v>
      </c>
      <c r="F40" s="568">
        <f>F32-F39</f>
        <v>1321240.5323604145</v>
      </c>
      <c r="G40" s="84">
        <f t="shared" si="11"/>
        <v>26006.135418190155</v>
      </c>
      <c r="H40" s="83">
        <f t="shared" si="12"/>
        <v>2.0038526536554531E-2</v>
      </c>
      <c r="I40" s="84">
        <f t="shared" si="13"/>
        <v>-2572.3739672752563</v>
      </c>
      <c r="J40" s="83">
        <f t="shared" si="14"/>
        <v>-1.9431552260742986E-3</v>
      </c>
    </row>
    <row r="41" spans="1:10" x14ac:dyDescent="0.2">
      <c r="A41" s="755" t="s">
        <v>358</v>
      </c>
      <c r="B41" s="756"/>
      <c r="C41" s="756"/>
      <c r="D41" s="731">
        <f>D26+D40</f>
        <v>2609902.8905344997</v>
      </c>
      <c r="E41" s="731">
        <f t="shared" ref="E41:F41" si="17">E26+E40</f>
        <v>2662150.9483451894</v>
      </c>
      <c r="F41" s="731">
        <f t="shared" si="17"/>
        <v>2699728.7156384392</v>
      </c>
    </row>
    <row r="42" spans="1:10" x14ac:dyDescent="0.2">
      <c r="A42" s="752"/>
      <c r="B42" s="752"/>
      <c r="C42" s="753"/>
      <c r="D42" s="67"/>
      <c r="F42" s="86"/>
    </row>
    <row r="43" spans="1:10" x14ac:dyDescent="0.2">
      <c r="A43" s="751" t="s">
        <v>359</v>
      </c>
      <c r="B43" s="751"/>
      <c r="C43" s="751"/>
      <c r="D43" s="564"/>
      <c r="E43" s="564"/>
      <c r="F43" s="564"/>
      <c r="G43" s="727"/>
      <c r="H43" s="86"/>
      <c r="I43" s="727"/>
      <c r="J43" s="86"/>
    </row>
    <row r="44" spans="1:10" x14ac:dyDescent="0.2">
      <c r="A44" s="747" t="s">
        <v>249</v>
      </c>
      <c r="B44" s="747"/>
      <c r="C44" s="747"/>
      <c r="D44" s="28">
        <v>186200</v>
      </c>
      <c r="E44" s="28">
        <f>D44*1.02</f>
        <v>189924</v>
      </c>
      <c r="F44" s="28">
        <f>E44*1.03</f>
        <v>195621.72</v>
      </c>
      <c r="G44" s="84">
        <f t="shared" ref="G44:G49" si="18">E44-D44</f>
        <v>3724</v>
      </c>
      <c r="H44" s="83">
        <f t="shared" ref="H44:H49" si="19">G44/D44</f>
        <v>0.02</v>
      </c>
      <c r="I44" s="84">
        <f t="shared" ref="I44:I49" si="20">F44-E44</f>
        <v>5697.7200000000012</v>
      </c>
      <c r="J44" s="83">
        <f t="shared" ref="J44:J47" si="21">I44/E44</f>
        <v>3.0000000000000006E-2</v>
      </c>
    </row>
    <row r="45" spans="1:10" x14ac:dyDescent="0.2">
      <c r="A45" s="747" t="s">
        <v>158</v>
      </c>
      <c r="B45" s="747"/>
      <c r="C45" s="747"/>
      <c r="D45" s="28">
        <v>102000</v>
      </c>
      <c r="E45" s="28">
        <f>D45*1.02</f>
        <v>104040</v>
      </c>
      <c r="F45" s="28">
        <f>E45*1.03</f>
        <v>107161.2</v>
      </c>
      <c r="G45" s="84">
        <f t="shared" si="18"/>
        <v>2040</v>
      </c>
      <c r="H45" s="83">
        <f t="shared" si="19"/>
        <v>0.02</v>
      </c>
      <c r="I45" s="84">
        <f t="shared" si="20"/>
        <v>3121.1999999999971</v>
      </c>
      <c r="J45" s="83">
        <f t="shared" si="21"/>
        <v>2.9999999999999971E-2</v>
      </c>
    </row>
    <row r="46" spans="1:10" x14ac:dyDescent="0.2">
      <c r="A46" s="747" t="s">
        <v>159</v>
      </c>
      <c r="B46" s="747"/>
      <c r="C46" s="747"/>
      <c r="D46" s="28">
        <v>110000</v>
      </c>
      <c r="E46" s="28">
        <f>D46*1.02</f>
        <v>112200</v>
      </c>
      <c r="F46" s="28">
        <f>E46*1.03</f>
        <v>115566</v>
      </c>
      <c r="G46" s="84">
        <f t="shared" si="18"/>
        <v>2200</v>
      </c>
      <c r="H46" s="83">
        <f t="shared" si="19"/>
        <v>0.02</v>
      </c>
      <c r="I46" s="84">
        <f t="shared" si="20"/>
        <v>3366</v>
      </c>
      <c r="J46" s="83">
        <f t="shared" si="21"/>
        <v>0.03</v>
      </c>
    </row>
    <row r="47" spans="1:10" x14ac:dyDescent="0.2">
      <c r="A47" s="747" t="s">
        <v>160</v>
      </c>
      <c r="B47" s="747"/>
      <c r="C47" s="747"/>
      <c r="D47" s="28">
        <v>86000</v>
      </c>
      <c r="E47" s="28">
        <f>D47*1.02</f>
        <v>87720</v>
      </c>
      <c r="F47" s="28">
        <f>E47*1.03</f>
        <v>90351.6</v>
      </c>
      <c r="G47" s="84">
        <f t="shared" si="18"/>
        <v>1720</v>
      </c>
      <c r="H47" s="83">
        <f t="shared" si="19"/>
        <v>0.02</v>
      </c>
      <c r="I47" s="84">
        <f t="shared" si="20"/>
        <v>2631.6000000000058</v>
      </c>
      <c r="J47" s="83">
        <f t="shared" si="21"/>
        <v>3.0000000000000065E-2</v>
      </c>
    </row>
    <row r="48" spans="1:10" x14ac:dyDescent="0.2">
      <c r="A48" s="747" t="s">
        <v>161</v>
      </c>
      <c r="B48" s="747"/>
      <c r="C48" s="747"/>
      <c r="D48" s="28">
        <v>166000</v>
      </c>
      <c r="E48" s="28">
        <f>D48*1.02</f>
        <v>169320</v>
      </c>
      <c r="F48" s="28">
        <f>E48*1.03</f>
        <v>174399.6</v>
      </c>
      <c r="G48" s="84">
        <f t="shared" si="18"/>
        <v>3320</v>
      </c>
      <c r="H48" s="83">
        <f t="shared" si="19"/>
        <v>0.02</v>
      </c>
      <c r="I48" s="84">
        <f t="shared" si="20"/>
        <v>5079.6000000000058</v>
      </c>
      <c r="J48" s="83">
        <f t="shared" ref="J48:J49" si="22">I48/D48</f>
        <v>3.0600000000000033E-2</v>
      </c>
    </row>
    <row r="49" spans="1:10" x14ac:dyDescent="0.2">
      <c r="A49" s="729" t="s">
        <v>81</v>
      </c>
      <c r="B49" s="729"/>
      <c r="C49" s="729"/>
      <c r="D49" s="730">
        <f>SUM(D44:D48)</f>
        <v>650200</v>
      </c>
      <c r="E49" s="728">
        <f>SUM(E44:E48)</f>
        <v>663204</v>
      </c>
      <c r="F49" s="28">
        <f>SUM(F44:F48)</f>
        <v>683100.12</v>
      </c>
      <c r="G49" s="84">
        <f t="shared" si="18"/>
        <v>13004</v>
      </c>
      <c r="H49" s="83">
        <f t="shared" si="19"/>
        <v>0.02</v>
      </c>
      <c r="I49" s="84">
        <f t="shared" si="20"/>
        <v>19896.119999999995</v>
      </c>
      <c r="J49" s="83">
        <f t="shared" si="22"/>
        <v>3.0599999999999992E-2</v>
      </c>
    </row>
    <row r="50" spans="1:10" x14ac:dyDescent="0.2">
      <c r="A50" s="756"/>
      <c r="B50" s="756"/>
      <c r="C50" s="756"/>
      <c r="D50" s="67"/>
      <c r="F50" s="86"/>
    </row>
    <row r="51" spans="1:10" x14ac:dyDescent="0.2">
      <c r="A51" s="758" t="s">
        <v>164</v>
      </c>
      <c r="B51" s="758"/>
      <c r="C51" s="758"/>
      <c r="D51" s="564">
        <f>D41-D49</f>
        <v>1959702.8905344997</v>
      </c>
      <c r="E51" s="564">
        <f t="shared" ref="E51:F51" si="23">E41-E49</f>
        <v>1998946.9483451894</v>
      </c>
      <c r="F51" s="564">
        <f t="shared" si="23"/>
        <v>2016628.5956384391</v>
      </c>
      <c r="G51" s="84">
        <f t="shared" ref="G51" si="24">E51-D51</f>
        <v>39244.057810689788</v>
      </c>
      <c r="H51" s="83">
        <f t="shared" ref="H51" si="25">G51/D51</f>
        <v>2.0025514071669383E-2</v>
      </c>
      <c r="I51" s="84">
        <f t="shared" ref="I51" si="26">F51-E51</f>
        <v>17681.647293249611</v>
      </c>
      <c r="J51" s="83">
        <f t="shared" ref="J51:J65" si="27">I51/E51</f>
        <v>8.8454810208380991E-3</v>
      </c>
    </row>
    <row r="52" spans="1:10" x14ac:dyDescent="0.2">
      <c r="A52" s="801" t="s">
        <v>364</v>
      </c>
      <c r="B52" s="759"/>
      <c r="C52" s="760"/>
      <c r="D52" s="67">
        <v>94000</v>
      </c>
      <c r="E52" s="63">
        <f>D52*1.02</f>
        <v>95880</v>
      </c>
      <c r="F52" s="569">
        <f>D52*1.03</f>
        <v>96820</v>
      </c>
      <c r="J52" s="83"/>
    </row>
    <row r="53" spans="1:10" x14ac:dyDescent="0.2">
      <c r="A53" s="747" t="s">
        <v>165</v>
      </c>
      <c r="B53" s="747"/>
      <c r="C53" s="747"/>
      <c r="D53" s="28">
        <v>81300</v>
      </c>
      <c r="E53" s="28">
        <f>D53*1.02</f>
        <v>82926</v>
      </c>
      <c r="F53" s="68">
        <f>E53*1.03</f>
        <v>85413.78</v>
      </c>
      <c r="G53" s="84">
        <f>E53-D53</f>
        <v>1626</v>
      </c>
      <c r="H53" s="83">
        <f>G53/D53</f>
        <v>0.02</v>
      </c>
      <c r="I53" s="84">
        <f>F53-E53</f>
        <v>2487.7799999999988</v>
      </c>
      <c r="J53" s="83">
        <f t="shared" si="27"/>
        <v>2.9999999999999985E-2</v>
      </c>
    </row>
    <row r="54" spans="1:10" x14ac:dyDescent="0.2">
      <c r="A54" s="747" t="s">
        <v>382</v>
      </c>
      <c r="B54" s="747"/>
      <c r="C54" s="747"/>
      <c r="D54" s="28">
        <v>75000</v>
      </c>
      <c r="E54" s="28">
        <f>D54*1.02</f>
        <v>76500</v>
      </c>
      <c r="F54" s="68">
        <f>D54*1.03</f>
        <v>77250</v>
      </c>
      <c r="G54" s="84">
        <f>E54-D54</f>
        <v>1500</v>
      </c>
      <c r="H54" s="83">
        <f>G54/D54</f>
        <v>0.02</v>
      </c>
      <c r="I54" s="84">
        <f>F54-E54</f>
        <v>750</v>
      </c>
      <c r="J54" s="83">
        <f t="shared" si="27"/>
        <v>9.8039215686274508E-3</v>
      </c>
    </row>
    <row r="55" spans="1:10" x14ac:dyDescent="0.2">
      <c r="D55" s="67"/>
      <c r="F55" s="569"/>
      <c r="J55" s="83"/>
    </row>
    <row r="56" spans="1:10" x14ac:dyDescent="0.2">
      <c r="A56" s="758" t="s">
        <v>167</v>
      </c>
      <c r="B56" s="758"/>
      <c r="C56" s="758"/>
      <c r="D56" s="564">
        <f>D51-D53-D54-D52</f>
        <v>1709402.8905344997</v>
      </c>
      <c r="E56" s="564">
        <f t="shared" ref="E56:F56" si="28">E51-E53-E54-E52</f>
        <v>1743640.9483451894</v>
      </c>
      <c r="F56" s="564">
        <f t="shared" si="28"/>
        <v>1757144.815638439</v>
      </c>
      <c r="G56" s="84">
        <f>E56-D56</f>
        <v>34238.057810689788</v>
      </c>
      <c r="H56" s="83">
        <f>G56/D56</f>
        <v>2.0029249979789235E-2</v>
      </c>
      <c r="I56" s="84">
        <f>F56-E56</f>
        <v>13503.867293249583</v>
      </c>
      <c r="J56" s="83">
        <f t="shared" si="27"/>
        <v>7.7446376251174252E-3</v>
      </c>
    </row>
    <row r="57" spans="1:10" x14ac:dyDescent="0.2">
      <c r="A57" s="756"/>
      <c r="B57" s="756"/>
      <c r="C57" s="756"/>
      <c r="D57" s="67"/>
      <c r="F57" s="86"/>
      <c r="J57" s="83"/>
    </row>
    <row r="58" spans="1:10" x14ac:dyDescent="0.2">
      <c r="A58" s="800" t="s">
        <v>168</v>
      </c>
      <c r="B58" s="800"/>
      <c r="C58" s="800"/>
      <c r="D58" s="28">
        <f>'Vertical analysis'!D41</f>
        <v>75000</v>
      </c>
      <c r="E58" s="28">
        <f>'Loan long term'!K16</f>
        <v>40371.428571428558</v>
      </c>
      <c r="F58" s="28">
        <f>'Loan long term'!M16</f>
        <v>13457.142857142846</v>
      </c>
      <c r="G58" s="84">
        <f>E58-D58</f>
        <v>-34628.571428571442</v>
      </c>
      <c r="H58" s="83">
        <f>G58/D58</f>
        <v>-0.46171428571428591</v>
      </c>
      <c r="I58" s="84">
        <f>F58-E58</f>
        <v>-26914.28571428571</v>
      </c>
      <c r="J58" s="83">
        <f t="shared" si="27"/>
        <v>-0.66666666666666674</v>
      </c>
    </row>
    <row r="59" spans="1:10" x14ac:dyDescent="0.2">
      <c r="A59" s="800" t="s">
        <v>169</v>
      </c>
      <c r="B59" s="800"/>
      <c r="C59" s="800"/>
      <c r="D59" s="28">
        <v>100000</v>
      </c>
      <c r="E59" s="28">
        <f>D59*1.02</f>
        <v>102000</v>
      </c>
      <c r="F59" s="28">
        <f>E59*1.03</f>
        <v>105060</v>
      </c>
      <c r="G59" s="84">
        <f>E59-D59</f>
        <v>2000</v>
      </c>
      <c r="H59" s="83">
        <f>G59/D59</f>
        <v>0.02</v>
      </c>
      <c r="I59" s="84">
        <f>F59-E59</f>
        <v>3060</v>
      </c>
      <c r="J59" s="83">
        <f t="shared" si="27"/>
        <v>0.03</v>
      </c>
    </row>
    <row r="60" spans="1:10" x14ac:dyDescent="0.2">
      <c r="A60" s="756"/>
      <c r="B60" s="756"/>
      <c r="C60" s="756"/>
      <c r="D60" s="67"/>
      <c r="F60" s="85"/>
      <c r="J60" s="83"/>
    </row>
    <row r="61" spans="1:10" x14ac:dyDescent="0.2">
      <c r="A61" s="758" t="s">
        <v>170</v>
      </c>
      <c r="B61" s="758"/>
      <c r="C61" s="758"/>
      <c r="D61" s="563">
        <f>+D56-D58-D59</f>
        <v>1534402.8905344997</v>
      </c>
      <c r="E61" s="563">
        <f>+E56-E58-E59</f>
        <v>1601269.5197737608</v>
      </c>
      <c r="F61" s="563">
        <f>+F56-F58-F59</f>
        <v>1638627.6727812961</v>
      </c>
      <c r="G61" s="84">
        <f>E61-D61</f>
        <v>66866.62923926115</v>
      </c>
      <c r="H61" s="83">
        <f>G61/D61</f>
        <v>4.3578273771348659E-2</v>
      </c>
      <c r="I61" s="84">
        <f>F61-E61</f>
        <v>37358.153007535264</v>
      </c>
      <c r="J61" s="83">
        <f t="shared" si="27"/>
        <v>2.3330334179353828E-2</v>
      </c>
    </row>
    <row r="62" spans="1:10" x14ac:dyDescent="0.2">
      <c r="A62" s="797"/>
      <c r="B62" s="797"/>
      <c r="C62" s="797"/>
      <c r="D62" s="67"/>
      <c r="F62" s="85"/>
      <c r="J62" s="83"/>
    </row>
    <row r="63" spans="1:10" x14ac:dyDescent="0.2">
      <c r="A63" s="798" t="s">
        <v>313</v>
      </c>
      <c r="B63" s="798"/>
      <c r="C63" s="798"/>
      <c r="D63" s="28">
        <f>D61*0.25</f>
        <v>383600.72263362492</v>
      </c>
      <c r="E63" s="28">
        <f>E61*0.25</f>
        <v>400317.3799434402</v>
      </c>
      <c r="F63" s="28">
        <f>F61*0.25</f>
        <v>409656.91819532402</v>
      </c>
      <c r="G63" s="84">
        <f>E63-D63</f>
        <v>16716.657309815288</v>
      </c>
      <c r="H63" s="83">
        <f>G63/D63</f>
        <v>4.3578273771348659E-2</v>
      </c>
      <c r="I63" s="84">
        <f>F63-E63</f>
        <v>9339.538251883816</v>
      </c>
      <c r="J63" s="83">
        <f t="shared" si="27"/>
        <v>2.3330334179353828E-2</v>
      </c>
    </row>
    <row r="64" spans="1:10" x14ac:dyDescent="0.2">
      <c r="A64" s="799"/>
      <c r="B64" s="797"/>
      <c r="C64" s="797"/>
      <c r="D64" s="67"/>
      <c r="F64" s="85"/>
      <c r="J64" s="83"/>
    </row>
    <row r="65" spans="1:18" x14ac:dyDescent="0.2">
      <c r="A65" s="796" t="s">
        <v>171</v>
      </c>
      <c r="B65" s="796"/>
      <c r="C65" s="796"/>
      <c r="D65" s="566">
        <f>+D61-D63</f>
        <v>1150802.1679008747</v>
      </c>
      <c r="E65" s="566">
        <f>+E61-E63</f>
        <v>1200952.1398303206</v>
      </c>
      <c r="F65" s="566">
        <f>+F61-F63</f>
        <v>1228970.7545859721</v>
      </c>
      <c r="G65" s="84">
        <f>E65-D65</f>
        <v>50149.971929445863</v>
      </c>
      <c r="H65" s="83">
        <f>G65/D65</f>
        <v>4.3578273771348659E-2</v>
      </c>
      <c r="I65" s="84">
        <f>F65-E65</f>
        <v>28018.614755651448</v>
      </c>
      <c r="J65" s="83">
        <f t="shared" si="27"/>
        <v>2.3330334179353828E-2</v>
      </c>
    </row>
    <row r="69" spans="1:18" x14ac:dyDescent="0.2">
      <c r="L69" s="87"/>
      <c r="M69" s="63"/>
      <c r="N69" s="63"/>
      <c r="O69" s="63"/>
      <c r="P69" s="63"/>
      <c r="Q69" s="63"/>
      <c r="R69" s="63"/>
    </row>
    <row r="70" spans="1:18" x14ac:dyDescent="0.2">
      <c r="L70" s="63"/>
    </row>
  </sheetData>
  <mergeCells count="61">
    <mergeCell ref="G2:H2"/>
    <mergeCell ref="I2:J2"/>
    <mergeCell ref="A65:C65"/>
    <mergeCell ref="A60:C60"/>
    <mergeCell ref="A61:C61"/>
    <mergeCell ref="A62:C62"/>
    <mergeCell ref="A63:C63"/>
    <mergeCell ref="A64:C64"/>
    <mergeCell ref="A54:C54"/>
    <mergeCell ref="A56:C56"/>
    <mergeCell ref="A57:C57"/>
    <mergeCell ref="A58:C58"/>
    <mergeCell ref="A59:C59"/>
    <mergeCell ref="A52:C52"/>
    <mergeCell ref="A53:C53"/>
    <mergeCell ref="A51:C51"/>
    <mergeCell ref="A45:C45"/>
    <mergeCell ref="A46:C46"/>
    <mergeCell ref="A47:C47"/>
    <mergeCell ref="A48:C48"/>
    <mergeCell ref="A50:C50"/>
    <mergeCell ref="A42:C42"/>
    <mergeCell ref="A43:C43"/>
    <mergeCell ref="A44:C44"/>
    <mergeCell ref="A40:C40"/>
    <mergeCell ref="A41:C41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4:C24"/>
    <mergeCell ref="A25:C25"/>
    <mergeCell ref="A26:C26"/>
    <mergeCell ref="A28:C28"/>
    <mergeCell ref="A29:C29"/>
    <mergeCell ref="A19:C19"/>
    <mergeCell ref="A20:C20"/>
    <mergeCell ref="A21:C21"/>
    <mergeCell ref="A22:C22"/>
    <mergeCell ref="A23:C23"/>
    <mergeCell ref="A13:C13"/>
    <mergeCell ref="A14:C14"/>
    <mergeCell ref="A16:C16"/>
    <mergeCell ref="A17:C17"/>
    <mergeCell ref="A18:C18"/>
    <mergeCell ref="A8:C8"/>
    <mergeCell ref="A9:C9"/>
    <mergeCell ref="A10:C10"/>
    <mergeCell ref="A11:C11"/>
    <mergeCell ref="A12:C12"/>
    <mergeCell ref="A1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4DF0D-BCB7-4B31-A69C-05EA5D65BC7E}">
  <dimension ref="B1:AG74"/>
  <sheetViews>
    <sheetView topLeftCell="J10" zoomScale="80" workbookViewId="0">
      <selection activeCell="L22" sqref="L22"/>
    </sheetView>
  </sheetViews>
  <sheetFormatPr defaultColWidth="8.875" defaultRowHeight="15" x14ac:dyDescent="0.2"/>
  <cols>
    <col min="2" max="2" width="30.9375" bestFit="1" customWidth="1"/>
    <col min="3" max="3" width="11.43359375" bestFit="1" customWidth="1"/>
    <col min="4" max="4" width="11.56640625" customWidth="1"/>
    <col min="5" max="5" width="12.5078125" customWidth="1"/>
    <col min="6" max="6" width="23.80859375" bestFit="1" customWidth="1"/>
    <col min="7" max="7" width="14.66015625" customWidth="1"/>
    <col min="8" max="8" width="10.4921875" bestFit="1" customWidth="1"/>
    <col min="9" max="9" width="12.5078125" customWidth="1"/>
    <col min="11" max="11" width="31.20703125" style="224" bestFit="1" customWidth="1"/>
    <col min="12" max="12" width="16.41015625" style="224" bestFit="1" customWidth="1"/>
    <col min="19" max="19" width="27.98046875" customWidth="1"/>
    <col min="20" max="20" width="11.56640625" customWidth="1"/>
    <col min="21" max="21" width="25.55859375" customWidth="1"/>
    <col min="22" max="22" width="9.953125" bestFit="1" customWidth="1"/>
    <col min="32" max="32" width="27.171875" customWidth="1"/>
  </cols>
  <sheetData>
    <row r="1" spans="2:33" ht="15.75" thickBot="1" x14ac:dyDescent="0.25"/>
    <row r="2" spans="2:33" ht="15.75" thickBot="1" x14ac:dyDescent="0.25">
      <c r="B2" s="802" t="s">
        <v>383</v>
      </c>
      <c r="C2" s="803"/>
      <c r="D2" s="803"/>
      <c r="E2" s="803"/>
      <c r="F2" s="803"/>
      <c r="G2" s="803"/>
      <c r="H2" s="803"/>
      <c r="I2" s="804"/>
      <c r="AF2" s="228" t="s">
        <v>293</v>
      </c>
      <c r="AG2" s="227">
        <v>6.7150918802519152E-2</v>
      </c>
    </row>
    <row r="3" spans="2:33" ht="23.25" x14ac:dyDescent="0.2">
      <c r="B3" s="456" t="s">
        <v>298</v>
      </c>
      <c r="C3" s="457"/>
      <c r="D3" s="284" t="s">
        <v>297</v>
      </c>
      <c r="E3" s="283" t="s">
        <v>296</v>
      </c>
      <c r="F3" s="444" t="s">
        <v>295</v>
      </c>
      <c r="G3" s="445"/>
      <c r="H3" s="284" t="s">
        <v>297</v>
      </c>
      <c r="I3" s="283" t="s">
        <v>296</v>
      </c>
      <c r="K3" s="232" t="s">
        <v>273</v>
      </c>
      <c r="L3" s="277">
        <v>1.9703324798791721E-2</v>
      </c>
      <c r="AF3" s="228" t="s">
        <v>292</v>
      </c>
      <c r="AG3" s="227">
        <v>2.686036752100766E-2</v>
      </c>
    </row>
    <row r="4" spans="2:33" x14ac:dyDescent="0.2">
      <c r="B4" s="276" t="s">
        <v>273</v>
      </c>
      <c r="C4" s="282">
        <v>40000</v>
      </c>
      <c r="D4" s="242">
        <f t="shared" ref="D4:D10" si="0">C4/$C$29</f>
        <v>1.4862705755582803E-2</v>
      </c>
      <c r="E4" s="249">
        <f t="shared" ref="E4:E10" si="1">C4/$C$10</f>
        <v>5.067781578613962E-2</v>
      </c>
      <c r="F4" s="734" t="s">
        <v>293</v>
      </c>
      <c r="G4" s="279">
        <v>1000000</v>
      </c>
      <c r="H4" s="242">
        <f>G4/$G$29</f>
        <v>5.8643655521772246E-2</v>
      </c>
      <c r="I4" s="249">
        <f>G4/$G$10</f>
        <v>0.27084541416732777</v>
      </c>
      <c r="K4" s="232" t="s">
        <v>272</v>
      </c>
      <c r="L4" s="277">
        <v>3.7656819673712913E-2</v>
      </c>
      <c r="AF4" s="228" t="s">
        <v>224</v>
      </c>
      <c r="AG4" s="227">
        <v>0.12492756934020663</v>
      </c>
    </row>
    <row r="5" spans="2:33" x14ac:dyDescent="0.2">
      <c r="B5" s="276" t="s">
        <v>272</v>
      </c>
      <c r="C5" s="281">
        <v>50000</v>
      </c>
      <c r="D5" s="242">
        <f t="shared" si="0"/>
        <v>1.8578382194478504E-2</v>
      </c>
      <c r="E5" s="249">
        <f t="shared" si="1"/>
        <v>6.3347269732674516E-2</v>
      </c>
      <c r="F5" s="734" t="s">
        <v>315</v>
      </c>
      <c r="G5" s="279">
        <v>400000</v>
      </c>
      <c r="H5" s="242">
        <f>G5/$G$29</f>
        <v>2.3457462208708899E-2</v>
      </c>
      <c r="I5" s="249">
        <f>G5/$G$10</f>
        <v>0.10833816566693111</v>
      </c>
      <c r="K5" s="232" t="s">
        <v>271</v>
      </c>
      <c r="L5" s="277">
        <v>0.19725000781468666</v>
      </c>
      <c r="U5" s="240" t="s">
        <v>295</v>
      </c>
      <c r="AF5" s="228" t="s">
        <v>248</v>
      </c>
      <c r="AG5" s="227">
        <v>4.7005643161763408E-2</v>
      </c>
    </row>
    <row r="6" spans="2:33" x14ac:dyDescent="0.2">
      <c r="B6" s="732" t="s">
        <v>271</v>
      </c>
      <c r="C6" s="278">
        <v>550000</v>
      </c>
      <c r="D6" s="242">
        <f t="shared" si="0"/>
        <v>0.20436220413926356</v>
      </c>
      <c r="E6" s="249">
        <f t="shared" si="1"/>
        <v>0.69681996705941973</v>
      </c>
      <c r="F6" s="280" t="s">
        <v>294</v>
      </c>
      <c r="G6" s="279">
        <v>1592143</v>
      </c>
      <c r="H6" s="242">
        <f>G6/$G$29</f>
        <v>9.3369085633401031E-2</v>
      </c>
      <c r="I6" s="249">
        <f>G6/$G$10</f>
        <v>0.43122463024861174</v>
      </c>
      <c r="J6" s="66"/>
      <c r="K6" s="232" t="s">
        <v>234</v>
      </c>
      <c r="L6" s="277">
        <v>5.3795456676732731E-2</v>
      </c>
      <c r="U6" s="228" t="s">
        <v>293</v>
      </c>
      <c r="V6" s="274">
        <v>0.2524997475002525</v>
      </c>
      <c r="AF6" s="228" t="s">
        <v>287</v>
      </c>
      <c r="AG6" s="227">
        <v>2.4174330768906894E-2</v>
      </c>
    </row>
    <row r="7" spans="2:33" x14ac:dyDescent="0.2">
      <c r="B7" s="276" t="s">
        <v>234</v>
      </c>
      <c r="C7" s="278">
        <v>81300</v>
      </c>
      <c r="D7" s="242">
        <f t="shared" si="0"/>
        <v>3.0208449448222048E-2</v>
      </c>
      <c r="E7" s="249">
        <f t="shared" si="1"/>
        <v>0.10300266058532877</v>
      </c>
      <c r="F7" s="280" t="s">
        <v>248</v>
      </c>
      <c r="G7" s="279">
        <v>700000</v>
      </c>
      <c r="H7" s="242">
        <f>G7/$G$29</f>
        <v>4.1050558865240575E-2</v>
      </c>
      <c r="I7" s="249">
        <f>G7/$G$10</f>
        <v>0.18959178991712944</v>
      </c>
      <c r="K7" s="232" t="s">
        <v>270</v>
      </c>
      <c r="L7" s="277">
        <v>2.4387273693452172E-2</v>
      </c>
      <c r="U7" s="228" t="s">
        <v>292</v>
      </c>
      <c r="V7" s="274">
        <v>0.10099989900010101</v>
      </c>
      <c r="AF7" s="228" t="s">
        <v>285</v>
      </c>
      <c r="AG7" s="227">
        <v>0.17267381998544301</v>
      </c>
    </row>
    <row r="8" spans="2:33" x14ac:dyDescent="0.2">
      <c r="B8" s="733" t="s">
        <v>270</v>
      </c>
      <c r="C8" s="278">
        <v>68000</v>
      </c>
      <c r="D8" s="242">
        <f t="shared" si="0"/>
        <v>2.5266599784490768E-2</v>
      </c>
      <c r="E8" s="249">
        <f t="shared" si="1"/>
        <v>8.6152286836437345E-2</v>
      </c>
      <c r="F8" s="237"/>
      <c r="G8" s="253"/>
      <c r="H8" s="242"/>
      <c r="I8" s="249"/>
      <c r="K8" s="252" t="s">
        <v>291</v>
      </c>
      <c r="L8" s="277">
        <v>0.66720711734262383</v>
      </c>
      <c r="U8" s="228" t="s">
        <v>224</v>
      </c>
      <c r="V8" s="274">
        <v>0.46975053024946978</v>
      </c>
      <c r="AF8" s="228" t="s">
        <v>279</v>
      </c>
      <c r="AG8" s="227">
        <v>0.53720735042015322</v>
      </c>
    </row>
    <row r="9" spans="2:33" x14ac:dyDescent="0.2">
      <c r="B9" s="737"/>
      <c r="C9" s="275"/>
      <c r="D9" s="242">
        <f t="shared" si="0"/>
        <v>0</v>
      </c>
      <c r="E9" s="249">
        <f t="shared" si="1"/>
        <v>0</v>
      </c>
      <c r="F9" s="237"/>
      <c r="G9" s="253"/>
      <c r="H9" s="242"/>
      <c r="I9" s="249"/>
      <c r="U9" s="228" t="s">
        <v>248</v>
      </c>
      <c r="V9" s="274">
        <v>0.17674982325017674</v>
      </c>
      <c r="AF9" s="263"/>
      <c r="AG9" s="273"/>
    </row>
    <row r="10" spans="2:33" x14ac:dyDescent="0.2">
      <c r="B10" s="458" t="s">
        <v>278</v>
      </c>
      <c r="C10" s="455">
        <f>SUM(C4:C9)</f>
        <v>789300</v>
      </c>
      <c r="D10" s="242">
        <f t="shared" si="0"/>
        <v>0.29327834132203767</v>
      </c>
      <c r="E10" s="249">
        <f t="shared" si="1"/>
        <v>1</v>
      </c>
      <c r="F10" s="446" t="s">
        <v>81</v>
      </c>
      <c r="G10" s="454">
        <f>G4+G6+G7+G5</f>
        <v>3692143</v>
      </c>
      <c r="H10" s="242">
        <f>G10/$G$29</f>
        <v>0.21652076222912275</v>
      </c>
      <c r="I10" s="249">
        <f>G10/$G$10</f>
        <v>1</v>
      </c>
      <c r="L10" s="234"/>
      <c r="U10" s="263"/>
      <c r="V10" s="272"/>
      <c r="AF10" s="263"/>
    </row>
    <row r="11" spans="2:33" x14ac:dyDescent="0.2">
      <c r="B11" s="235"/>
      <c r="C11" s="248"/>
      <c r="D11" s="251"/>
      <c r="E11" s="250"/>
      <c r="F11" s="237"/>
      <c r="G11" s="247"/>
      <c r="H11" s="251"/>
      <c r="I11" s="250"/>
      <c r="L11" s="234"/>
    </row>
    <row r="12" spans="2:33" x14ac:dyDescent="0.2">
      <c r="B12" s="459" t="s">
        <v>290</v>
      </c>
      <c r="C12" s="460"/>
      <c r="D12" s="251"/>
      <c r="E12" s="250"/>
      <c r="F12" s="447" t="s">
        <v>289</v>
      </c>
      <c r="G12" s="448"/>
      <c r="H12" s="251"/>
      <c r="I12" s="250"/>
      <c r="AF12" s="232" t="s">
        <v>282</v>
      </c>
      <c r="AG12" s="231">
        <f>H27</f>
        <v>0.46914924417417797</v>
      </c>
    </row>
    <row r="13" spans="2:33" ht="15.75" thickBot="1" x14ac:dyDescent="0.25">
      <c r="B13" s="271" t="s">
        <v>388</v>
      </c>
      <c r="C13" s="270">
        <v>1000000</v>
      </c>
      <c r="D13" s="242"/>
      <c r="E13" s="249"/>
      <c r="F13" s="734" t="s">
        <v>287</v>
      </c>
      <c r="G13" s="269">
        <v>360000</v>
      </c>
      <c r="H13" s="242">
        <f>G13/$G$29</f>
        <v>2.1111715987838009E-2</v>
      </c>
      <c r="I13" s="249">
        <f>G13/$G$17</f>
        <v>6.7164179104477612E-2</v>
      </c>
      <c r="AF13" s="237"/>
      <c r="AG13" s="236"/>
    </row>
    <row r="14" spans="2:33" ht="15.75" thickBot="1" x14ac:dyDescent="0.25">
      <c r="B14" s="265" t="s">
        <v>268</v>
      </c>
      <c r="C14" s="264">
        <v>480000</v>
      </c>
      <c r="D14" s="242">
        <f t="shared" ref="D13:D21" si="2">C14/$C$29</f>
        <v>0.17835246906699365</v>
      </c>
      <c r="E14" s="249">
        <f t="shared" ref="E13:E21" si="3">C14/$C$24</f>
        <v>0.25236593059936907</v>
      </c>
      <c r="F14" s="734" t="s">
        <v>285</v>
      </c>
      <c r="G14" s="268">
        <v>5000000</v>
      </c>
      <c r="H14" s="242">
        <f>G14/$G$29</f>
        <v>0.29321827760886127</v>
      </c>
      <c r="I14" s="249">
        <f>G14/$G$17</f>
        <v>0.93283582089552242</v>
      </c>
      <c r="AF14" s="267" t="s">
        <v>280</v>
      </c>
      <c r="AG14" s="239">
        <v>1</v>
      </c>
    </row>
    <row r="15" spans="2:33" x14ac:dyDescent="0.2">
      <c r="B15" s="265" t="s">
        <v>384</v>
      </c>
      <c r="C15" s="260">
        <v>80000</v>
      </c>
      <c r="D15" s="242">
        <f t="shared" si="2"/>
        <v>2.9725411511165607E-2</v>
      </c>
      <c r="E15" s="249">
        <f t="shared" si="3"/>
        <v>4.2060988433228183E-2</v>
      </c>
      <c r="H15" s="251"/>
      <c r="I15" s="251"/>
      <c r="U15" s="237"/>
      <c r="V15" s="236"/>
    </row>
    <row r="16" spans="2:33" x14ac:dyDescent="0.2">
      <c r="B16" s="265" t="s">
        <v>265</v>
      </c>
      <c r="C16" s="264">
        <v>50000</v>
      </c>
      <c r="D16" s="242">
        <f t="shared" si="2"/>
        <v>1.8578382194478504E-2</v>
      </c>
      <c r="E16" s="249">
        <f t="shared" si="3"/>
        <v>2.6288117770767613E-2</v>
      </c>
      <c r="G16" s="247"/>
      <c r="H16" s="251"/>
      <c r="I16" s="251"/>
      <c r="U16" s="240" t="s">
        <v>289</v>
      </c>
      <c r="V16" s="236"/>
    </row>
    <row r="17" spans="2:22" x14ac:dyDescent="0.2">
      <c r="B17" s="265" t="s">
        <v>264</v>
      </c>
      <c r="C17" s="260">
        <v>150000</v>
      </c>
      <c r="D17" s="242">
        <f t="shared" si="2"/>
        <v>5.5735146583435514E-2</v>
      </c>
      <c r="E17" s="249">
        <f t="shared" si="3"/>
        <v>7.8864353312302835E-2</v>
      </c>
      <c r="F17" s="449" t="s">
        <v>81</v>
      </c>
      <c r="G17" s="453">
        <f>SUM(G13:G14)</f>
        <v>5360000</v>
      </c>
      <c r="H17" s="242">
        <f>G17/$G$29</f>
        <v>0.31432999359669928</v>
      </c>
      <c r="I17" s="249">
        <f>G17/G17</f>
        <v>1</v>
      </c>
      <c r="K17" s="266" t="s">
        <v>288</v>
      </c>
      <c r="L17" s="266"/>
      <c r="U17" s="228" t="s">
        <v>287</v>
      </c>
      <c r="V17" s="233">
        <v>0.12280699958961994</v>
      </c>
    </row>
    <row r="18" spans="2:22" x14ac:dyDescent="0.2">
      <c r="B18" s="265" t="s">
        <v>263</v>
      </c>
      <c r="C18" s="264">
        <v>32000</v>
      </c>
      <c r="D18" s="242">
        <f t="shared" si="2"/>
        <v>1.1890164604466243E-2</v>
      </c>
      <c r="E18" s="249">
        <f t="shared" si="3"/>
        <v>1.6824395373291272E-2</v>
      </c>
      <c r="F18" s="237"/>
      <c r="G18" s="247"/>
      <c r="H18" s="251"/>
      <c r="I18" s="250"/>
      <c r="K18"/>
      <c r="L18"/>
      <c r="U18" s="228" t="s">
        <v>285</v>
      </c>
      <c r="V18" s="233">
        <v>0.87719300041038006</v>
      </c>
    </row>
    <row r="19" spans="2:22" x14ac:dyDescent="0.2">
      <c r="B19" s="261" t="s">
        <v>262</v>
      </c>
      <c r="C19" s="260">
        <v>15000</v>
      </c>
      <c r="D19" s="242">
        <f t="shared" si="2"/>
        <v>5.5735146583435514E-3</v>
      </c>
      <c r="E19" s="249">
        <f t="shared" si="3"/>
        <v>7.8864353312302835E-3</v>
      </c>
      <c r="F19" s="237"/>
      <c r="G19" s="247"/>
      <c r="H19" s="251"/>
      <c r="I19" s="250"/>
      <c r="K19" s="229" t="s">
        <v>268</v>
      </c>
      <c r="L19" s="233">
        <v>0.3105590062111801</v>
      </c>
      <c r="U19" s="263"/>
      <c r="V19" s="262"/>
    </row>
    <row r="20" spans="2:22" x14ac:dyDescent="0.2">
      <c r="B20" s="261" t="s">
        <v>261</v>
      </c>
      <c r="C20" s="260">
        <v>25000</v>
      </c>
      <c r="D20" s="242">
        <f t="shared" si="2"/>
        <v>9.2891910972392518E-3</v>
      </c>
      <c r="E20" s="249">
        <f t="shared" si="3"/>
        <v>1.3144058885383806E-2</v>
      </c>
      <c r="F20" s="237"/>
      <c r="G20" s="247"/>
      <c r="H20" s="251"/>
      <c r="I20" s="250"/>
      <c r="K20" s="229" t="s">
        <v>385</v>
      </c>
      <c r="L20" s="233"/>
      <c r="U20" s="237"/>
      <c r="V20" s="236"/>
    </row>
    <row r="21" spans="2:22" x14ac:dyDescent="0.2">
      <c r="B21" s="261" t="s">
        <v>283</v>
      </c>
      <c r="C21" s="260">
        <v>70000</v>
      </c>
      <c r="D21" s="242">
        <f t="shared" si="2"/>
        <v>2.6009735072269908E-2</v>
      </c>
      <c r="E21" s="249">
        <f t="shared" si="3"/>
        <v>3.6803364879074658E-2</v>
      </c>
      <c r="F21" s="237"/>
      <c r="G21" s="247"/>
      <c r="H21" s="251"/>
      <c r="I21" s="250"/>
      <c r="K21" s="229" t="s">
        <v>265</v>
      </c>
      <c r="L21" s="233">
        <v>0.16441359152356594</v>
      </c>
    </row>
    <row r="22" spans="2:22" x14ac:dyDescent="0.2">
      <c r="B22" s="259"/>
      <c r="C22" s="258"/>
      <c r="D22" s="257"/>
      <c r="E22" s="256"/>
      <c r="F22" s="237"/>
      <c r="G22" s="247"/>
      <c r="H22" s="251"/>
      <c r="I22" s="250"/>
      <c r="K22" s="229" t="s">
        <v>264</v>
      </c>
      <c r="L22" s="233"/>
    </row>
    <row r="23" spans="2:22" x14ac:dyDescent="0.2">
      <c r="B23" s="235"/>
      <c r="C23" s="248"/>
      <c r="D23" s="251"/>
      <c r="E23" s="250"/>
      <c r="F23" s="450" t="s">
        <v>284</v>
      </c>
      <c r="G23" s="451"/>
      <c r="H23" s="251"/>
      <c r="I23" s="250"/>
      <c r="K23" s="228" t="s">
        <v>263</v>
      </c>
      <c r="L23" s="233">
        <v>8.2206795761782976E-3</v>
      </c>
    </row>
    <row r="24" spans="2:22" x14ac:dyDescent="0.2">
      <c r="B24" s="461" t="s">
        <v>277</v>
      </c>
      <c r="C24" s="455">
        <f>SUM(C12:C23)</f>
        <v>1902000</v>
      </c>
      <c r="D24" s="242">
        <f>C24/$C$29</f>
        <v>0.70672165867796233</v>
      </c>
      <c r="E24" s="249">
        <f>C24/$C$24</f>
        <v>1</v>
      </c>
      <c r="F24" s="255" t="s">
        <v>279</v>
      </c>
      <c r="G24" s="254">
        <v>8000000</v>
      </c>
      <c r="H24" s="242">
        <f>G24/$G$29</f>
        <v>0.46914924417417797</v>
      </c>
      <c r="I24" s="249">
        <f>G24/G27</f>
        <v>1</v>
      </c>
      <c r="K24" s="228" t="s">
        <v>262</v>
      </c>
      <c r="L24" s="233">
        <v>2.4662038728534893E-2</v>
      </c>
      <c r="U24" s="232" t="s">
        <v>81</v>
      </c>
      <c r="V24" s="231">
        <f>I10-H10</f>
        <v>0.78347923777087725</v>
      </c>
    </row>
    <row r="25" spans="2:22" x14ac:dyDescent="0.2">
      <c r="B25" s="235"/>
      <c r="C25" s="248"/>
      <c r="D25" s="251"/>
      <c r="E25" s="250"/>
      <c r="F25" s="736" t="s">
        <v>391</v>
      </c>
      <c r="G25" s="253"/>
      <c r="H25" s="242"/>
      <c r="I25" s="249"/>
      <c r="K25" s="228" t="s">
        <v>261</v>
      </c>
      <c r="L25" s="233">
        <v>1.1691633175009134E-2</v>
      </c>
    </row>
    <row r="26" spans="2:22" x14ac:dyDescent="0.2">
      <c r="B26" s="235"/>
      <c r="C26" s="248"/>
      <c r="D26" s="251"/>
      <c r="E26" s="250"/>
      <c r="F26" s="237"/>
      <c r="G26" s="247"/>
      <c r="H26" s="251"/>
      <c r="I26" s="250"/>
      <c r="K26" s="252" t="s">
        <v>283</v>
      </c>
      <c r="L26" s="233">
        <v>2.1921812203142127E-2</v>
      </c>
    </row>
    <row r="27" spans="2:22" x14ac:dyDescent="0.2">
      <c r="B27" s="235"/>
      <c r="C27" s="248"/>
      <c r="D27" s="251"/>
      <c r="E27" s="250"/>
      <c r="F27" s="452" t="s">
        <v>282</v>
      </c>
      <c r="G27" s="453">
        <f>SUM(G24:G26)</f>
        <v>8000000</v>
      </c>
      <c r="H27" s="242">
        <f>G27/$G$29</f>
        <v>0.46914924417417797</v>
      </c>
      <c r="I27" s="249">
        <f>G27/G27</f>
        <v>1</v>
      </c>
    </row>
    <row r="28" spans="2:22" ht="15.75" thickBot="1" x14ac:dyDescent="0.25">
      <c r="B28" s="235"/>
      <c r="C28" s="248"/>
      <c r="D28" s="246"/>
      <c r="E28" s="245"/>
      <c r="F28" s="237"/>
      <c r="G28" s="247"/>
      <c r="H28" s="246"/>
      <c r="I28" s="245"/>
      <c r="L28" s="233"/>
    </row>
    <row r="29" spans="2:22" ht="15.75" thickBot="1" x14ac:dyDescent="0.25">
      <c r="B29" s="464" t="s">
        <v>281</v>
      </c>
      <c r="C29" s="463">
        <f>C24+C10</f>
        <v>2691300</v>
      </c>
      <c r="D29" s="244">
        <f>C29/C29</f>
        <v>1</v>
      </c>
      <c r="E29" s="241">
        <f>C29/C29</f>
        <v>1</v>
      </c>
      <c r="F29" s="464" t="s">
        <v>280</v>
      </c>
      <c r="G29" s="462">
        <f>G27+G17+G10</f>
        <v>17052143</v>
      </c>
      <c r="H29" s="443">
        <f>G29/$G$29</f>
        <v>1</v>
      </c>
      <c r="I29" s="241">
        <f>G29/G29</f>
        <v>1</v>
      </c>
    </row>
    <row r="30" spans="2:22" x14ac:dyDescent="0.2">
      <c r="U30" s="240" t="s">
        <v>276</v>
      </c>
      <c r="V30" s="236"/>
    </row>
    <row r="31" spans="2:22" ht="17.25" x14ac:dyDescent="0.2">
      <c r="B31" s="225"/>
      <c r="U31" s="232" t="s">
        <v>279</v>
      </c>
      <c r="V31" s="239">
        <v>1</v>
      </c>
    </row>
    <row r="32" spans="2:22" ht="17.25" x14ac:dyDescent="0.2">
      <c r="B32" s="225"/>
      <c r="U32" s="237"/>
      <c r="V32" s="236"/>
    </row>
    <row r="33" spans="2:22" x14ac:dyDescent="0.2">
      <c r="C33" s="66"/>
      <c r="U33" s="237"/>
      <c r="V33" s="236"/>
    </row>
    <row r="34" spans="2:22" ht="17.25" x14ac:dyDescent="0.2">
      <c r="B34" s="225"/>
      <c r="C34" s="66"/>
      <c r="K34" s="238" t="s">
        <v>278</v>
      </c>
      <c r="L34" s="227">
        <f>D10</f>
        <v>0.29327834132203767</v>
      </c>
      <c r="U34" s="237"/>
      <c r="V34" s="236"/>
    </row>
    <row r="35" spans="2:22" x14ac:dyDescent="0.2">
      <c r="C35" s="66"/>
      <c r="K35" s="238" t="s">
        <v>277</v>
      </c>
      <c r="L35" s="227">
        <f>D24</f>
        <v>0.70672165867796233</v>
      </c>
      <c r="U35" s="237"/>
      <c r="V35" s="236"/>
    </row>
    <row r="36" spans="2:22" ht="17.25" x14ac:dyDescent="0.2">
      <c r="B36" s="225"/>
      <c r="C36" s="66"/>
      <c r="L36" s="234"/>
    </row>
    <row r="37" spans="2:22" ht="17.25" x14ac:dyDescent="0.2">
      <c r="B37" s="225"/>
      <c r="C37" s="66"/>
      <c r="L37" s="234">
        <f>L34+L35</f>
        <v>1</v>
      </c>
    </row>
    <row r="38" spans="2:22" ht="17.25" x14ac:dyDescent="0.2">
      <c r="B38" s="225"/>
      <c r="C38" s="66"/>
    </row>
    <row r="39" spans="2:22" ht="17.25" x14ac:dyDescent="0.2">
      <c r="B39" s="225"/>
      <c r="C39" s="66"/>
    </row>
    <row r="40" spans="2:22" ht="17.25" x14ac:dyDescent="0.2">
      <c r="B40" s="225"/>
      <c r="C40" s="66"/>
    </row>
    <row r="41" spans="2:22" ht="17.25" x14ac:dyDescent="0.2">
      <c r="B41" s="225"/>
      <c r="C41" s="66"/>
    </row>
    <row r="42" spans="2:22" ht="17.25" x14ac:dyDescent="0.2">
      <c r="B42" s="225"/>
      <c r="C42" s="66"/>
      <c r="U42" s="232" t="s">
        <v>276</v>
      </c>
      <c r="V42" s="231">
        <f>H27</f>
        <v>0.46914924417417797</v>
      </c>
    </row>
    <row r="43" spans="2:22" ht="17.25" x14ac:dyDescent="0.2">
      <c r="B43" s="225"/>
      <c r="C43" s="66"/>
      <c r="K43" s="235"/>
      <c r="L43" s="234"/>
      <c r="U43" s="232" t="s">
        <v>275</v>
      </c>
      <c r="V43" s="231">
        <f>G17/G29</f>
        <v>0.31432999359669928</v>
      </c>
    </row>
    <row r="44" spans="2:22" ht="17.25" x14ac:dyDescent="0.2">
      <c r="B44" s="225"/>
      <c r="C44" s="66"/>
      <c r="U44" s="232" t="s">
        <v>274</v>
      </c>
      <c r="V44" s="231">
        <f>G10/G29</f>
        <v>0.21652076222912275</v>
      </c>
    </row>
    <row r="45" spans="2:22" ht="17.25" x14ac:dyDescent="0.2">
      <c r="B45" s="225"/>
      <c r="C45" s="66"/>
    </row>
    <row r="46" spans="2:22" ht="17.25" x14ac:dyDescent="0.2">
      <c r="B46" s="225"/>
      <c r="C46" s="66"/>
    </row>
    <row r="47" spans="2:22" ht="17.25" x14ac:dyDescent="0.2">
      <c r="B47" s="225"/>
      <c r="C47" s="66"/>
      <c r="K47" s="232" t="s">
        <v>273</v>
      </c>
      <c r="L47" s="227">
        <v>6.6493950776334342E-3</v>
      </c>
    </row>
    <row r="48" spans="2:22" ht="17.25" x14ac:dyDescent="0.2">
      <c r="B48" s="225"/>
      <c r="C48" s="66"/>
      <c r="K48" s="232" t="s">
        <v>272</v>
      </c>
      <c r="L48" s="227">
        <v>1.2708264921515763E-2</v>
      </c>
    </row>
    <row r="49" spans="2:23" ht="17.25" x14ac:dyDescent="0.2">
      <c r="B49" s="225"/>
      <c r="C49" s="66"/>
      <c r="K49" s="232" t="s">
        <v>271</v>
      </c>
      <c r="L49" s="227">
        <v>6.6567101969844472E-2</v>
      </c>
    </row>
    <row r="50" spans="2:23" ht="17.25" x14ac:dyDescent="0.2">
      <c r="B50" s="225"/>
      <c r="C50" s="66"/>
      <c r="K50" s="232" t="s">
        <v>234</v>
      </c>
      <c r="L50" s="227">
        <v>1.8154664173593949E-2</v>
      </c>
    </row>
    <row r="51" spans="2:23" ht="17.25" x14ac:dyDescent="0.2">
      <c r="B51" s="225"/>
      <c r="C51" s="66"/>
      <c r="K51" s="232" t="s">
        <v>270</v>
      </c>
      <c r="L51" s="227">
        <v>8.2301144253625908E-3</v>
      </c>
    </row>
    <row r="52" spans="2:23" ht="17.25" x14ac:dyDescent="0.2">
      <c r="B52" s="225"/>
      <c r="C52" s="66"/>
      <c r="K52" s="229" t="s">
        <v>314</v>
      </c>
      <c r="L52" s="227">
        <v>0.22516624819036121</v>
      </c>
      <c r="U52" s="232" t="s">
        <v>269</v>
      </c>
      <c r="V52" s="233">
        <f>H10</f>
        <v>0.21652076222912275</v>
      </c>
      <c r="W52" s="230"/>
    </row>
    <row r="53" spans="2:23" ht="17.25" x14ac:dyDescent="0.2">
      <c r="B53" s="225"/>
      <c r="C53" s="66"/>
      <c r="K53" s="229" t="s">
        <v>286</v>
      </c>
      <c r="L53" s="227">
        <v>6.0515547245313162E-2</v>
      </c>
      <c r="U53" s="232" t="s">
        <v>267</v>
      </c>
      <c r="V53" s="231">
        <f>H17</f>
        <v>0.31432999359669928</v>
      </c>
      <c r="W53" s="230"/>
    </row>
    <row r="54" spans="2:23" ht="17.25" x14ac:dyDescent="0.2">
      <c r="B54" s="225"/>
      <c r="C54" s="66"/>
      <c r="K54" s="229" t="s">
        <v>268</v>
      </c>
      <c r="L54" s="227">
        <v>0.20575286063406475</v>
      </c>
    </row>
    <row r="55" spans="2:23" ht="17.25" x14ac:dyDescent="0.2">
      <c r="B55" s="225"/>
      <c r="C55" s="66"/>
      <c r="K55" s="229" t="s">
        <v>266</v>
      </c>
      <c r="L55" s="227">
        <v>0.14644762433365785</v>
      </c>
    </row>
    <row r="56" spans="2:23" ht="17.25" x14ac:dyDescent="0.2">
      <c r="B56" s="225"/>
      <c r="C56" s="66"/>
      <c r="K56" s="229" t="s">
        <v>265</v>
      </c>
      <c r="L56" s="227">
        <v>0.10892798504156369</v>
      </c>
    </row>
    <row r="57" spans="2:23" ht="17.25" x14ac:dyDescent="0.2">
      <c r="B57" s="225"/>
      <c r="C57" s="66"/>
      <c r="K57" s="228" t="s">
        <v>264</v>
      </c>
      <c r="L57" s="227">
        <v>9.6824875592501067E-2</v>
      </c>
    </row>
    <row r="58" spans="2:23" ht="17.25" x14ac:dyDescent="0.2">
      <c r="B58" s="225"/>
      <c r="C58" s="66"/>
      <c r="K58" s="228" t="s">
        <v>263</v>
      </c>
      <c r="L58" s="227">
        <v>5.4463992520781849E-3</v>
      </c>
    </row>
    <row r="59" spans="2:23" ht="17.25" x14ac:dyDescent="0.2">
      <c r="B59" s="225"/>
      <c r="C59" s="66"/>
      <c r="K59" s="228" t="s">
        <v>262</v>
      </c>
      <c r="L59" s="227">
        <v>1.6339197756234554E-2</v>
      </c>
    </row>
    <row r="60" spans="2:23" ht="17.25" x14ac:dyDescent="0.2">
      <c r="B60" s="225"/>
      <c r="C60" s="66"/>
      <c r="K60" s="252" t="s">
        <v>261</v>
      </c>
      <c r="L60" s="227">
        <v>7.7459900474000851E-3</v>
      </c>
    </row>
    <row r="61" spans="2:23" ht="17.25" x14ac:dyDescent="0.2">
      <c r="B61" s="225"/>
      <c r="K61" s="252" t="s">
        <v>283</v>
      </c>
      <c r="L61" s="227">
        <v>1.4523731338875159E-2</v>
      </c>
    </row>
    <row r="62" spans="2:23" ht="17.25" x14ac:dyDescent="0.2">
      <c r="B62" s="226"/>
      <c r="D62" s="66"/>
    </row>
    <row r="68" spans="2:2" ht="17.25" x14ac:dyDescent="0.2">
      <c r="B68" s="225"/>
    </row>
    <row r="73" spans="2:2" ht="17.25" x14ac:dyDescent="0.2">
      <c r="B73" s="225"/>
    </row>
    <row r="74" spans="2:2" ht="17.25" x14ac:dyDescent="0.2">
      <c r="B74" s="225"/>
    </row>
  </sheetData>
  <mergeCells count="1">
    <mergeCell ref="B2:I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4303-7BE0-42E6-B4F5-90790C358D43}">
  <dimension ref="B3:J18"/>
  <sheetViews>
    <sheetView topLeftCell="A2" zoomScale="97" workbookViewId="0">
      <selection activeCell="G11" sqref="G11"/>
    </sheetView>
  </sheetViews>
  <sheetFormatPr defaultColWidth="8.875" defaultRowHeight="15" x14ac:dyDescent="0.2"/>
  <cols>
    <col min="1" max="1" width="8.875" style="90" customWidth="1"/>
    <col min="2" max="2" width="18.4296875" style="90" customWidth="1"/>
    <col min="3" max="3" width="3.49609375" style="90" customWidth="1"/>
    <col min="4" max="4" width="13.046875" style="90" customWidth="1"/>
    <col min="5" max="6" width="12.5078125" style="90" customWidth="1"/>
    <col min="7" max="7" width="13.44921875" style="90" customWidth="1"/>
    <col min="8" max="8" width="13.5859375" style="90" customWidth="1"/>
    <col min="9" max="9" width="12.5078125" style="90" customWidth="1"/>
    <col min="10" max="10" width="8.875" style="90" customWidth="1"/>
    <col min="11" max="16384" width="8.875" style="90"/>
  </cols>
  <sheetData>
    <row r="3" spans="2:10" x14ac:dyDescent="0.2">
      <c r="B3" s="495"/>
      <c r="C3" s="495"/>
      <c r="D3" s="495"/>
      <c r="E3" s="495"/>
      <c r="F3" s="495"/>
      <c r="G3" s="495"/>
      <c r="H3" s="495"/>
      <c r="I3" s="495"/>
    </row>
    <row r="4" spans="2:10" x14ac:dyDescent="0.2">
      <c r="B4" s="495" t="s">
        <v>123</v>
      </c>
      <c r="C4" s="495"/>
      <c r="D4" s="481">
        <v>400000</v>
      </c>
      <c r="E4" s="495"/>
      <c r="F4" s="495"/>
      <c r="G4" s="495"/>
      <c r="H4" s="495"/>
      <c r="I4" s="495"/>
    </row>
    <row r="5" spans="2:10" x14ac:dyDescent="0.2">
      <c r="B5" s="495" t="s">
        <v>124</v>
      </c>
      <c r="C5" s="495"/>
      <c r="D5" s="495" t="s">
        <v>125</v>
      </c>
      <c r="E5" s="495"/>
      <c r="F5" s="495"/>
      <c r="G5" s="495"/>
      <c r="H5" s="495"/>
      <c r="I5" s="495"/>
    </row>
    <row r="6" spans="2:10" x14ac:dyDescent="0.2">
      <c r="B6" s="495" t="s">
        <v>126</v>
      </c>
      <c r="C6" s="495"/>
      <c r="D6" s="495" t="s">
        <v>127</v>
      </c>
      <c r="E6" s="495"/>
      <c r="F6" s="495"/>
      <c r="G6" s="495"/>
      <c r="H6" s="495"/>
      <c r="I6" s="495"/>
    </row>
    <row r="7" spans="2:10" x14ac:dyDescent="0.2">
      <c r="B7" s="495" t="s">
        <v>128</v>
      </c>
      <c r="C7" s="495"/>
      <c r="D7" s="495">
        <v>1</v>
      </c>
      <c r="E7" s="495"/>
      <c r="F7" s="495"/>
      <c r="G7" s="495"/>
      <c r="H7" s="495"/>
      <c r="I7" s="495"/>
    </row>
    <row r="8" spans="2:10" x14ac:dyDescent="0.2">
      <c r="B8" s="495" t="s">
        <v>129</v>
      </c>
      <c r="C8" s="495"/>
      <c r="D8" s="496">
        <v>6.5000000000000002E-2</v>
      </c>
      <c r="E8" s="495"/>
      <c r="F8" s="495"/>
      <c r="G8" s="495"/>
      <c r="H8" s="495"/>
      <c r="I8" s="495"/>
    </row>
    <row r="9" spans="2:10" x14ac:dyDescent="0.2">
      <c r="B9" s="495"/>
      <c r="C9" s="495"/>
      <c r="D9" s="495"/>
      <c r="E9" s="495"/>
      <c r="F9" s="495"/>
      <c r="G9" s="495"/>
      <c r="H9" s="495"/>
      <c r="I9" s="495"/>
    </row>
    <row r="10" spans="2:10" x14ac:dyDescent="0.2">
      <c r="B10" s="495"/>
      <c r="C10" s="495"/>
      <c r="D10" s="495"/>
      <c r="E10" s="495"/>
      <c r="F10" s="495"/>
      <c r="G10" s="495"/>
      <c r="H10" s="495"/>
      <c r="I10" s="495"/>
    </row>
    <row r="11" spans="2:10" x14ac:dyDescent="0.2">
      <c r="B11" s="497" t="s">
        <v>130</v>
      </c>
      <c r="C11" s="497"/>
      <c r="D11" s="498">
        <f>D4/D7</f>
        <v>400000</v>
      </c>
      <c r="E11" s="495"/>
      <c r="F11" s="495"/>
      <c r="G11" s="495"/>
      <c r="H11" s="495"/>
      <c r="I11" s="495"/>
    </row>
    <row r="12" spans="2:10" x14ac:dyDescent="0.2">
      <c r="B12" s="495"/>
      <c r="C12" s="495"/>
      <c r="D12" s="495"/>
      <c r="E12" s="495"/>
      <c r="F12" s="495"/>
      <c r="G12" s="495"/>
      <c r="H12" s="495"/>
      <c r="I12" s="495"/>
    </row>
    <row r="13" spans="2:10" x14ac:dyDescent="0.2">
      <c r="B13" s="495"/>
      <c r="C13" s="495"/>
      <c r="D13" s="496"/>
      <c r="E13" s="496"/>
      <c r="F13" s="496"/>
      <c r="G13" s="496"/>
      <c r="H13" s="496"/>
      <c r="I13" s="495"/>
    </row>
    <row r="14" spans="2:10" x14ac:dyDescent="0.2">
      <c r="B14" s="480"/>
      <c r="C14" s="480"/>
      <c r="D14" s="483">
        <v>2025</v>
      </c>
      <c r="E14" s="483">
        <v>2026</v>
      </c>
      <c r="F14" s="483">
        <v>2027</v>
      </c>
      <c r="G14" s="483">
        <v>2028</v>
      </c>
      <c r="H14" s="483">
        <v>2029</v>
      </c>
      <c r="I14" s="483">
        <v>2030</v>
      </c>
      <c r="J14" s="483"/>
    </row>
    <row r="15" spans="2:10" x14ac:dyDescent="0.2">
      <c r="B15" s="484" t="s">
        <v>131</v>
      </c>
      <c r="C15" s="484"/>
      <c r="D15" s="485">
        <f>D4</f>
        <v>400000</v>
      </c>
      <c r="E15" s="486">
        <f>+IF((ROUNDDOWN((D15-D17),0))&gt;0,(D15-D17),0)</f>
        <v>0</v>
      </c>
      <c r="F15" s="486">
        <f>+IF((ROUNDDOWN((E15-E17),0))&gt;0,(E15-E17),0)</f>
        <v>0</v>
      </c>
      <c r="G15" s="486">
        <f>+IF((ROUNDDOWN((F15-F17),0))&gt;0,(F15-F17),0)</f>
        <v>0</v>
      </c>
      <c r="H15" s="486">
        <f>+IF((ROUNDDOWN((G15-G17),0))&gt;0,(G15-G17),0)</f>
        <v>0</v>
      </c>
      <c r="I15" s="486">
        <f>+IF((ROUNDDOWN((H15-H17),0))&gt;0,(H15-H17),0)</f>
        <v>0</v>
      </c>
      <c r="J15" s="486"/>
    </row>
    <row r="16" spans="2:10" x14ac:dyDescent="0.2">
      <c r="B16" s="487" t="s">
        <v>129</v>
      </c>
      <c r="C16" s="487"/>
      <c r="D16" s="488">
        <f t="shared" ref="D16:I16" si="0">D15*$D$8</f>
        <v>26000</v>
      </c>
      <c r="E16" s="488">
        <f t="shared" si="0"/>
        <v>0</v>
      </c>
      <c r="F16" s="488">
        <f t="shared" si="0"/>
        <v>0</v>
      </c>
      <c r="G16" s="488">
        <f t="shared" si="0"/>
        <v>0</v>
      </c>
      <c r="H16" s="488">
        <f t="shared" si="0"/>
        <v>0</v>
      </c>
      <c r="I16" s="488">
        <f t="shared" si="0"/>
        <v>0</v>
      </c>
      <c r="J16" s="488"/>
    </row>
    <row r="17" spans="2:10" x14ac:dyDescent="0.2">
      <c r="B17" s="489" t="s">
        <v>132</v>
      </c>
      <c r="C17" s="489"/>
      <c r="D17" s="490">
        <f t="shared" ref="D17:I17" si="1">IF(D15&gt;0,$D$11,0)</f>
        <v>400000</v>
      </c>
      <c r="E17" s="490">
        <f t="shared" si="1"/>
        <v>0</v>
      </c>
      <c r="F17" s="490">
        <f t="shared" si="1"/>
        <v>0</v>
      </c>
      <c r="G17" s="490">
        <f t="shared" si="1"/>
        <v>0</v>
      </c>
      <c r="H17" s="490">
        <f t="shared" si="1"/>
        <v>0</v>
      </c>
      <c r="I17" s="490">
        <f t="shared" si="1"/>
        <v>0</v>
      </c>
      <c r="J17" s="490"/>
    </row>
    <row r="18" spans="2:10" x14ac:dyDescent="0.2">
      <c r="B18" s="491" t="s">
        <v>133</v>
      </c>
      <c r="C18" s="491"/>
      <c r="D18" s="492">
        <f t="shared" ref="D18:I18" si="2">D16+D17</f>
        <v>426000</v>
      </c>
      <c r="E18" s="492">
        <f t="shared" si="2"/>
        <v>0</v>
      </c>
      <c r="F18" s="492">
        <f t="shared" si="2"/>
        <v>0</v>
      </c>
      <c r="G18" s="492">
        <f t="shared" si="2"/>
        <v>0</v>
      </c>
      <c r="H18" s="492">
        <f t="shared" si="2"/>
        <v>0</v>
      </c>
      <c r="I18" s="492">
        <f t="shared" si="2"/>
        <v>0</v>
      </c>
      <c r="J18" s="492"/>
    </row>
  </sheetData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D019-F37D-4A1D-8E92-176C0F9FC379}">
  <dimension ref="E3:M18"/>
  <sheetViews>
    <sheetView topLeftCell="B1" zoomScale="92" workbookViewId="0">
      <selection activeCell="E11" sqref="E11"/>
    </sheetView>
  </sheetViews>
  <sheetFormatPr defaultColWidth="8.875" defaultRowHeight="15" x14ac:dyDescent="0.2"/>
  <cols>
    <col min="1" max="4" width="8.875" style="89" customWidth="1"/>
    <col min="5" max="5" width="18.4296875" style="89" customWidth="1"/>
    <col min="6" max="6" width="2.015625" style="89" customWidth="1"/>
    <col min="7" max="7" width="22.59765625" style="89" bestFit="1" customWidth="1"/>
    <col min="8" max="8" width="15.46875" style="89" customWidth="1"/>
    <col min="9" max="9" width="16.41015625" style="89" customWidth="1"/>
    <col min="10" max="10" width="15.6015625" style="89" customWidth="1"/>
    <col min="11" max="11" width="14.52734375" style="89" customWidth="1"/>
    <col min="12" max="12" width="14.125" style="89" customWidth="1"/>
    <col min="13" max="13" width="13.5859375" style="89" customWidth="1"/>
    <col min="14" max="16384" width="8.875" style="89"/>
  </cols>
  <sheetData>
    <row r="3" spans="5:13" x14ac:dyDescent="0.2">
      <c r="H3" s="480"/>
      <c r="I3" s="480"/>
      <c r="J3" s="480"/>
      <c r="K3" s="480"/>
      <c r="L3" s="480"/>
      <c r="M3" s="480"/>
    </row>
    <row r="4" spans="5:13" x14ac:dyDescent="0.2">
      <c r="E4" s="480" t="s">
        <v>123</v>
      </c>
      <c r="F4" s="480"/>
      <c r="G4" s="481">
        <v>3000000</v>
      </c>
      <c r="H4" s="480"/>
      <c r="I4" s="480"/>
      <c r="J4" s="480"/>
      <c r="K4" s="480"/>
      <c r="L4" s="480"/>
      <c r="M4" s="480"/>
    </row>
    <row r="5" spans="5:13" x14ac:dyDescent="0.2">
      <c r="E5" s="480" t="s">
        <v>124</v>
      </c>
      <c r="F5" s="480"/>
      <c r="G5" s="480" t="s">
        <v>125</v>
      </c>
      <c r="H5" s="480"/>
      <c r="I5" s="480"/>
      <c r="J5" s="480"/>
      <c r="K5" s="480"/>
      <c r="L5" s="480"/>
      <c r="M5" s="480"/>
    </row>
    <row r="6" spans="5:13" x14ac:dyDescent="0.2">
      <c r="E6" s="480" t="s">
        <v>126</v>
      </c>
      <c r="F6" s="480"/>
      <c r="G6" s="480" t="s">
        <v>127</v>
      </c>
      <c r="H6" s="480"/>
      <c r="I6" s="480"/>
      <c r="J6" s="480"/>
      <c r="K6" s="480"/>
      <c r="L6" s="480"/>
      <c r="M6" s="480"/>
    </row>
    <row r="7" spans="5:13" x14ac:dyDescent="0.2">
      <c r="E7" s="480" t="s">
        <v>128</v>
      </c>
      <c r="F7" s="480"/>
      <c r="G7" s="480">
        <v>7</v>
      </c>
      <c r="H7" s="480"/>
      <c r="I7" s="480"/>
      <c r="J7" s="480"/>
      <c r="K7" s="480"/>
      <c r="L7" s="480"/>
      <c r="M7" s="480"/>
    </row>
    <row r="8" spans="5:13" x14ac:dyDescent="0.2">
      <c r="E8" s="480" t="s">
        <v>129</v>
      </c>
      <c r="F8" s="480"/>
      <c r="G8" s="482">
        <v>3.1399999999999997E-2</v>
      </c>
      <c r="H8" s="480"/>
      <c r="I8" s="480"/>
      <c r="J8" s="480"/>
      <c r="K8" s="480"/>
      <c r="L8" s="480"/>
      <c r="M8" s="480"/>
    </row>
    <row r="9" spans="5:13" x14ac:dyDescent="0.2">
      <c r="E9" s="480"/>
      <c r="F9" s="480"/>
      <c r="G9" s="480"/>
      <c r="H9" s="480"/>
      <c r="I9" s="480"/>
      <c r="J9" s="480"/>
      <c r="K9" s="480"/>
      <c r="L9" s="480"/>
      <c r="M9" s="480"/>
    </row>
    <row r="10" spans="5:13" x14ac:dyDescent="0.2">
      <c r="E10" s="480"/>
      <c r="F10" s="480"/>
      <c r="G10" s="480"/>
      <c r="H10" s="480"/>
      <c r="I10" s="480"/>
      <c r="J10" s="480"/>
      <c r="K10" s="480"/>
      <c r="L10" s="480"/>
      <c r="M10" s="480"/>
    </row>
    <row r="11" spans="5:13" x14ac:dyDescent="0.2">
      <c r="E11" s="493" t="s">
        <v>130</v>
      </c>
      <c r="F11" s="493"/>
      <c r="G11" s="494">
        <f>G4/G7</f>
        <v>428571.42857142858</v>
      </c>
      <c r="H11" s="480"/>
      <c r="I11" s="480"/>
      <c r="J11" s="480"/>
      <c r="K11" s="480"/>
      <c r="L11" s="480"/>
      <c r="M11" s="480"/>
    </row>
    <row r="12" spans="5:13" x14ac:dyDescent="0.2">
      <c r="E12" s="480"/>
      <c r="F12" s="480"/>
      <c r="G12" s="480"/>
      <c r="H12" s="480"/>
      <c r="I12" s="480"/>
      <c r="J12" s="480"/>
      <c r="K12" s="480"/>
      <c r="L12" s="480"/>
      <c r="M12" s="480"/>
    </row>
    <row r="13" spans="5:13" x14ac:dyDescent="0.2">
      <c r="E13" s="480"/>
      <c r="F13" s="480"/>
      <c r="G13" s="482"/>
      <c r="H13" s="482"/>
      <c r="I13" s="482"/>
      <c r="J13" s="482"/>
      <c r="K13" s="482"/>
      <c r="L13" s="480"/>
      <c r="M13" s="480"/>
    </row>
    <row r="14" spans="5:13" x14ac:dyDescent="0.2">
      <c r="E14" s="480"/>
      <c r="F14" s="480"/>
      <c r="G14" s="483">
        <v>2024</v>
      </c>
      <c r="H14" s="483">
        <v>2025</v>
      </c>
      <c r="I14" s="483">
        <v>2026</v>
      </c>
      <c r="J14" s="483">
        <v>2027</v>
      </c>
      <c r="K14" s="483">
        <v>2028</v>
      </c>
      <c r="L14" s="483">
        <v>2029</v>
      </c>
      <c r="M14" s="483">
        <v>2030</v>
      </c>
    </row>
    <row r="15" spans="5:13" x14ac:dyDescent="0.2">
      <c r="E15" s="484" t="s">
        <v>131</v>
      </c>
      <c r="F15" s="484"/>
      <c r="G15" s="485">
        <f>G4</f>
        <v>3000000</v>
      </c>
      <c r="H15" s="486">
        <f t="shared" ref="H15:M15" si="0">+IF((ROUNDDOWN((G15-G17),0))&gt;0,(G15-G17),0)</f>
        <v>2571428.5714285714</v>
      </c>
      <c r="I15" s="486">
        <f t="shared" si="0"/>
        <v>2142857.1428571427</v>
      </c>
      <c r="J15" s="486">
        <f t="shared" si="0"/>
        <v>1714285.7142857141</v>
      </c>
      <c r="K15" s="486">
        <f t="shared" si="0"/>
        <v>1285714.2857142854</v>
      </c>
      <c r="L15" s="486">
        <f t="shared" si="0"/>
        <v>857142.85714285681</v>
      </c>
      <c r="M15" s="486">
        <f t="shared" si="0"/>
        <v>428571.42857142823</v>
      </c>
    </row>
    <row r="16" spans="5:13" x14ac:dyDescent="0.2">
      <c r="E16" s="487" t="s">
        <v>129</v>
      </c>
      <c r="F16" s="487"/>
      <c r="G16" s="488">
        <f t="shared" ref="G16:M16" si="1">G15*$G$8</f>
        <v>94199.999999999985</v>
      </c>
      <c r="H16" s="488">
        <f t="shared" si="1"/>
        <v>80742.85714285713</v>
      </c>
      <c r="I16" s="488">
        <f t="shared" si="1"/>
        <v>67285.714285714275</v>
      </c>
      <c r="J16" s="488">
        <f t="shared" si="1"/>
        <v>53828.57142857142</v>
      </c>
      <c r="K16" s="488">
        <f t="shared" si="1"/>
        <v>40371.428571428558</v>
      </c>
      <c r="L16" s="488">
        <f t="shared" si="1"/>
        <v>26914.285714285703</v>
      </c>
      <c r="M16" s="488">
        <f t="shared" si="1"/>
        <v>13457.142857142846</v>
      </c>
    </row>
    <row r="17" spans="5:13" x14ac:dyDescent="0.2">
      <c r="E17" s="489" t="s">
        <v>132</v>
      </c>
      <c r="F17" s="489"/>
      <c r="G17" s="490">
        <f t="shared" ref="G17:M17" si="2">IF(G15&gt;0,$G$11,0)</f>
        <v>428571.42857142858</v>
      </c>
      <c r="H17" s="490">
        <f t="shared" si="2"/>
        <v>428571.42857142858</v>
      </c>
      <c r="I17" s="490">
        <f t="shared" si="2"/>
        <v>428571.42857142858</v>
      </c>
      <c r="J17" s="490">
        <f t="shared" si="2"/>
        <v>428571.42857142858</v>
      </c>
      <c r="K17" s="490">
        <f t="shared" si="2"/>
        <v>428571.42857142858</v>
      </c>
      <c r="L17" s="490">
        <f t="shared" si="2"/>
        <v>428571.42857142858</v>
      </c>
      <c r="M17" s="490">
        <f t="shared" si="2"/>
        <v>428571.42857142858</v>
      </c>
    </row>
    <row r="18" spans="5:13" x14ac:dyDescent="0.2">
      <c r="E18" s="491" t="s">
        <v>133</v>
      </c>
      <c r="F18" s="491"/>
      <c r="G18" s="492">
        <f t="shared" ref="G18:M18" si="3">G16+G17</f>
        <v>522771.42857142858</v>
      </c>
      <c r="H18" s="492">
        <f t="shared" si="3"/>
        <v>509314.28571428568</v>
      </c>
      <c r="I18" s="492">
        <f t="shared" si="3"/>
        <v>495857.14285714284</v>
      </c>
      <c r="J18" s="492">
        <f t="shared" si="3"/>
        <v>482400</v>
      </c>
      <c r="K18" s="492">
        <f t="shared" si="3"/>
        <v>468942.85714285716</v>
      </c>
      <c r="L18" s="492">
        <f t="shared" si="3"/>
        <v>455485.71428571426</v>
      </c>
      <c r="M18" s="492">
        <f t="shared" si="3"/>
        <v>442028.57142857142</v>
      </c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6D7E-F509-4EDD-9398-422DB79791F2}">
  <dimension ref="A1:F42"/>
  <sheetViews>
    <sheetView zoomScale="125" workbookViewId="0">
      <selection activeCell="I10" sqref="I10"/>
    </sheetView>
  </sheetViews>
  <sheetFormatPr defaultColWidth="10.76171875" defaultRowHeight="15" x14ac:dyDescent="0.2"/>
  <cols>
    <col min="5" max="5" width="4.4375" customWidth="1"/>
    <col min="6" max="6" width="11.43359375" bestFit="1" customWidth="1"/>
  </cols>
  <sheetData>
    <row r="1" spans="1:6" x14ac:dyDescent="0.2">
      <c r="A1" s="805" t="s">
        <v>260</v>
      </c>
      <c r="B1" s="805"/>
      <c r="C1" s="805"/>
      <c r="D1" s="466"/>
      <c r="E1" s="466"/>
      <c r="F1" s="466"/>
    </row>
    <row r="2" spans="1:6" x14ac:dyDescent="0.2">
      <c r="A2" s="469" t="s">
        <v>259</v>
      </c>
      <c r="B2" s="466"/>
      <c r="C2" s="466"/>
      <c r="D2" s="466"/>
      <c r="E2" s="466"/>
      <c r="F2" s="466"/>
    </row>
    <row r="3" spans="1:6" x14ac:dyDescent="0.2">
      <c r="A3" s="466"/>
      <c r="B3" s="466"/>
      <c r="C3" s="477" t="s">
        <v>258</v>
      </c>
      <c r="D3" s="478"/>
      <c r="E3" s="478"/>
      <c r="F3" s="479">
        <v>46022</v>
      </c>
    </row>
    <row r="4" spans="1:6" x14ac:dyDescent="0.2">
      <c r="A4" s="466"/>
      <c r="B4" s="466"/>
      <c r="C4" s="473" t="s">
        <v>257</v>
      </c>
      <c r="D4" s="474"/>
      <c r="E4" s="474"/>
      <c r="F4" s="475">
        <v>54939.56</v>
      </c>
    </row>
    <row r="5" spans="1:6" x14ac:dyDescent="0.2">
      <c r="A5" s="466"/>
      <c r="B5" s="466"/>
      <c r="C5" s="466"/>
      <c r="D5" s="466"/>
      <c r="E5" s="466"/>
      <c r="F5" s="466"/>
    </row>
    <row r="6" spans="1:6" x14ac:dyDescent="0.2">
      <c r="A6" s="805" t="s">
        <v>256</v>
      </c>
      <c r="B6" s="805"/>
      <c r="C6" s="805"/>
      <c r="D6" s="466"/>
      <c r="E6" s="466"/>
      <c r="F6" s="466"/>
    </row>
    <row r="7" spans="1:6" x14ac:dyDescent="0.2">
      <c r="A7" s="806" t="s">
        <v>237</v>
      </c>
      <c r="B7" s="806"/>
      <c r="C7" s="806"/>
      <c r="D7" s="466"/>
      <c r="E7" s="466"/>
      <c r="F7" s="466"/>
    </row>
    <row r="8" spans="1:6" x14ac:dyDescent="0.2">
      <c r="A8" s="466"/>
      <c r="B8" s="470" t="s">
        <v>255</v>
      </c>
      <c r="C8" s="471"/>
      <c r="D8" s="471"/>
      <c r="E8" s="471"/>
      <c r="F8" s="472">
        <v>4438200</v>
      </c>
    </row>
    <row r="9" spans="1:6" x14ac:dyDescent="0.2">
      <c r="A9" s="466"/>
      <c r="B9" s="473" t="s">
        <v>254</v>
      </c>
      <c r="C9" s="474"/>
      <c r="D9" s="474"/>
      <c r="E9" s="474"/>
      <c r="F9" s="475">
        <v>2449929.11</v>
      </c>
    </row>
    <row r="10" spans="1:6" x14ac:dyDescent="0.2">
      <c r="A10" s="466"/>
      <c r="B10" s="473" t="s">
        <v>253</v>
      </c>
      <c r="C10" s="474"/>
      <c r="D10" s="474"/>
      <c r="E10" s="474"/>
      <c r="F10" s="475">
        <v>626424</v>
      </c>
    </row>
    <row r="11" spans="1:6" x14ac:dyDescent="0.2">
      <c r="A11" s="807" t="s">
        <v>241</v>
      </c>
      <c r="B11" s="807"/>
      <c r="C11" s="807"/>
      <c r="D11" s="466"/>
      <c r="E11" s="466"/>
      <c r="F11" s="468"/>
    </row>
    <row r="12" spans="1:6" x14ac:dyDescent="0.2">
      <c r="A12" s="466"/>
      <c r="B12" s="470" t="s">
        <v>252</v>
      </c>
      <c r="C12" s="471"/>
      <c r="D12" s="471"/>
      <c r="E12" s="471"/>
      <c r="F12" s="472">
        <v>1860400</v>
      </c>
    </row>
    <row r="13" spans="1:6" x14ac:dyDescent="0.2">
      <c r="A13" s="466"/>
      <c r="B13" s="473" t="s">
        <v>251</v>
      </c>
      <c r="C13" s="474"/>
      <c r="D13" s="474"/>
      <c r="E13" s="474"/>
      <c r="F13" s="475">
        <v>105000</v>
      </c>
    </row>
    <row r="14" spans="1:6" x14ac:dyDescent="0.2">
      <c r="A14" s="466"/>
      <c r="B14" s="473" t="s">
        <v>250</v>
      </c>
      <c r="C14" s="474"/>
      <c r="D14" s="474"/>
      <c r="E14" s="474"/>
      <c r="F14" s="475">
        <v>600000</v>
      </c>
    </row>
    <row r="15" spans="1:6" x14ac:dyDescent="0.2">
      <c r="A15" s="466"/>
      <c r="B15" s="473" t="s">
        <v>249</v>
      </c>
      <c r="C15" s="474"/>
      <c r="D15" s="474"/>
      <c r="E15" s="474"/>
      <c r="F15" s="475">
        <v>110000</v>
      </c>
    </row>
    <row r="16" spans="1:6" x14ac:dyDescent="0.2">
      <c r="A16" s="466"/>
      <c r="B16" s="473" t="s">
        <v>248</v>
      </c>
      <c r="C16" s="474"/>
      <c r="D16" s="474"/>
      <c r="E16" s="474"/>
      <c r="F16" s="475">
        <v>700000</v>
      </c>
    </row>
    <row r="17" spans="1:6" x14ac:dyDescent="0.2">
      <c r="A17" s="466"/>
      <c r="B17" s="470" t="s">
        <v>247</v>
      </c>
      <c r="C17" s="471"/>
      <c r="D17" s="471"/>
      <c r="E17" s="471"/>
      <c r="F17" s="472">
        <v>100000</v>
      </c>
    </row>
    <row r="18" spans="1:6" x14ac:dyDescent="0.2">
      <c r="A18" s="466"/>
      <c r="B18" s="470" t="s">
        <v>129</v>
      </c>
      <c r="C18" s="471"/>
      <c r="D18" s="471"/>
      <c r="E18" s="471"/>
      <c r="F18" s="472">
        <v>80742.85714285713</v>
      </c>
    </row>
    <row r="19" spans="1:6" x14ac:dyDescent="0.2">
      <c r="A19" s="466"/>
      <c r="B19" s="470" t="s">
        <v>246</v>
      </c>
      <c r="C19" s="471"/>
      <c r="D19" s="471"/>
      <c r="E19" s="471"/>
      <c r="F19" s="472">
        <v>135831.47669616077</v>
      </c>
    </row>
    <row r="20" spans="1:6" x14ac:dyDescent="0.2">
      <c r="A20" s="808" t="s">
        <v>245</v>
      </c>
      <c r="B20" s="808"/>
      <c r="C20" s="808"/>
      <c r="D20" s="466"/>
      <c r="E20" s="466"/>
      <c r="F20" s="467">
        <f>(F8+F9+F10)-(F12+F13+F14+F15+F16+F17+F18+F19)</f>
        <v>3822578.7761609815</v>
      </c>
    </row>
    <row r="21" spans="1:6" x14ac:dyDescent="0.2">
      <c r="A21" s="466"/>
      <c r="B21" s="466"/>
      <c r="C21" s="466"/>
      <c r="D21" s="466"/>
      <c r="E21" s="466"/>
      <c r="F21" s="468"/>
    </row>
    <row r="22" spans="1:6" x14ac:dyDescent="0.2">
      <c r="A22" s="805" t="s">
        <v>244</v>
      </c>
      <c r="B22" s="805"/>
      <c r="C22" s="805"/>
      <c r="D22" s="466"/>
      <c r="E22" s="466"/>
      <c r="F22" s="468"/>
    </row>
    <row r="23" spans="1:6" x14ac:dyDescent="0.2">
      <c r="A23" s="473" t="s">
        <v>243</v>
      </c>
      <c r="B23" s="466"/>
      <c r="C23" s="466"/>
      <c r="D23" s="466"/>
      <c r="E23" s="466"/>
      <c r="F23" s="468"/>
    </row>
    <row r="24" spans="1:6" x14ac:dyDescent="0.2">
      <c r="A24" s="466"/>
      <c r="B24" s="470" t="s">
        <v>242</v>
      </c>
      <c r="C24" s="471"/>
      <c r="D24" s="471"/>
      <c r="E24" s="471"/>
      <c r="F24" s="472">
        <v>0</v>
      </c>
    </row>
    <row r="25" spans="1:6" x14ac:dyDescent="0.2">
      <c r="A25" s="470" t="s">
        <v>241</v>
      </c>
      <c r="B25" s="466"/>
      <c r="C25" s="466"/>
      <c r="D25" s="466"/>
      <c r="E25" s="466"/>
      <c r="F25" s="468"/>
    </row>
    <row r="26" spans="1:6" x14ac:dyDescent="0.2">
      <c r="A26" s="466"/>
      <c r="B26" s="470" t="s">
        <v>240</v>
      </c>
      <c r="C26" s="471"/>
      <c r="D26" s="471"/>
      <c r="E26" s="471"/>
      <c r="F26" s="472">
        <v>0</v>
      </c>
    </row>
    <row r="27" spans="1:6" x14ac:dyDescent="0.2">
      <c r="A27" s="809" t="s">
        <v>239</v>
      </c>
      <c r="B27" s="809"/>
      <c r="C27" s="809"/>
      <c r="D27" s="471"/>
      <c r="E27" s="471"/>
      <c r="F27" s="472">
        <f>F24-F26</f>
        <v>0</v>
      </c>
    </row>
    <row r="28" spans="1:6" x14ac:dyDescent="0.2">
      <c r="A28" s="466"/>
      <c r="B28" s="466"/>
      <c r="C28" s="466"/>
      <c r="D28" s="466"/>
      <c r="E28" s="466"/>
      <c r="F28" s="468"/>
    </row>
    <row r="29" spans="1:6" x14ac:dyDescent="0.2">
      <c r="A29" s="805" t="s">
        <v>238</v>
      </c>
      <c r="B29" s="805"/>
      <c r="C29" s="805"/>
      <c r="D29" s="466"/>
      <c r="E29" s="466"/>
      <c r="F29" s="468"/>
    </row>
    <row r="30" spans="1:6" x14ac:dyDescent="0.2">
      <c r="A30" s="473" t="s">
        <v>237</v>
      </c>
      <c r="B30" s="474"/>
      <c r="C30" s="466"/>
      <c r="D30" s="466"/>
      <c r="E30" s="466"/>
      <c r="F30" s="468"/>
    </row>
    <row r="31" spans="1:6" x14ac:dyDescent="0.2">
      <c r="A31" s="466"/>
      <c r="B31" s="470" t="s">
        <v>236</v>
      </c>
      <c r="C31" s="471"/>
      <c r="D31" s="471"/>
      <c r="E31" s="471"/>
      <c r="F31" s="472">
        <v>3400000</v>
      </c>
    </row>
    <row r="32" spans="1:6" x14ac:dyDescent="0.2">
      <c r="A32" s="466"/>
      <c r="B32" s="473" t="s">
        <v>235</v>
      </c>
      <c r="C32" s="474"/>
      <c r="D32" s="474"/>
      <c r="E32" s="474"/>
      <c r="F32" s="475">
        <v>68000</v>
      </c>
    </row>
    <row r="33" spans="1:6" x14ac:dyDescent="0.2">
      <c r="A33" s="466"/>
      <c r="B33" s="473" t="s">
        <v>234</v>
      </c>
      <c r="C33" s="474"/>
      <c r="D33" s="474"/>
      <c r="E33" s="474"/>
      <c r="F33" s="475">
        <v>150000</v>
      </c>
    </row>
    <row r="34" spans="1:6" x14ac:dyDescent="0.2">
      <c r="A34" s="470" t="s">
        <v>233</v>
      </c>
      <c r="B34" s="466"/>
      <c r="C34" s="466"/>
      <c r="D34" s="466"/>
      <c r="E34" s="466"/>
      <c r="F34" s="468"/>
    </row>
    <row r="35" spans="1:6" x14ac:dyDescent="0.2">
      <c r="A35" s="465"/>
      <c r="B35" s="476" t="s">
        <v>232</v>
      </c>
      <c r="C35" s="471"/>
      <c r="D35" s="471"/>
      <c r="E35" s="471"/>
      <c r="F35" s="472">
        <v>1000000</v>
      </c>
    </row>
    <row r="36" spans="1:6" x14ac:dyDescent="0.2">
      <c r="A36" s="466"/>
      <c r="B36" s="473" t="s">
        <v>231</v>
      </c>
      <c r="C36" s="474"/>
      <c r="D36" s="474"/>
      <c r="E36" s="474"/>
      <c r="F36" s="475">
        <v>400000</v>
      </c>
    </row>
    <row r="37" spans="1:6" x14ac:dyDescent="0.2">
      <c r="A37" s="809" t="s">
        <v>230</v>
      </c>
      <c r="B37" s="809"/>
      <c r="C37" s="809"/>
      <c r="D37" s="471"/>
      <c r="E37" s="471"/>
      <c r="F37" s="472">
        <f>(F31+F32+F33)-(F35+F36)</f>
        <v>2218000</v>
      </c>
    </row>
    <row r="38" spans="1:6" x14ac:dyDescent="0.2">
      <c r="A38" s="466"/>
      <c r="B38" s="466"/>
      <c r="C38" s="466"/>
      <c r="D38" s="466"/>
      <c r="E38" s="466"/>
      <c r="F38" s="468"/>
    </row>
    <row r="39" spans="1:6" x14ac:dyDescent="0.2">
      <c r="A39" s="810" t="s">
        <v>229</v>
      </c>
      <c r="B39" s="810"/>
      <c r="C39" s="810"/>
      <c r="D39" s="466"/>
      <c r="E39" s="466"/>
      <c r="F39" s="472">
        <f>F20-F27-F37</f>
        <v>1604578.7761609815</v>
      </c>
    </row>
    <row r="40" spans="1:6" x14ac:dyDescent="0.2">
      <c r="A40" s="466"/>
      <c r="B40" s="466"/>
      <c r="C40" s="466"/>
      <c r="D40" s="466"/>
      <c r="E40" s="466"/>
      <c r="F40" s="468"/>
    </row>
    <row r="41" spans="1:6" x14ac:dyDescent="0.2">
      <c r="A41" s="466"/>
      <c r="B41" s="466"/>
      <c r="C41" s="470" t="s">
        <v>228</v>
      </c>
      <c r="D41" s="471"/>
      <c r="E41" s="471"/>
      <c r="F41" s="472">
        <f>F4+F39</f>
        <v>1659518.3361609816</v>
      </c>
    </row>
    <row r="42" spans="1:6" x14ac:dyDescent="0.2">
      <c r="A42" s="223"/>
      <c r="B42" s="223"/>
      <c r="C42" s="223"/>
      <c r="D42" s="223"/>
      <c r="E42" s="223"/>
      <c r="F42" s="222"/>
    </row>
  </sheetData>
  <mergeCells count="10">
    <mergeCell ref="A22:C22"/>
    <mergeCell ref="A27:C27"/>
    <mergeCell ref="A39:C39"/>
    <mergeCell ref="A37:C37"/>
    <mergeCell ref="A29:C29"/>
    <mergeCell ref="A1:C1"/>
    <mergeCell ref="A6:C6"/>
    <mergeCell ref="A7:C7"/>
    <mergeCell ref="A11:C11"/>
    <mergeCell ref="A20:C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FD62B6C3F1C489EF4C12E37960BEB" ma:contentTypeVersion="10" ma:contentTypeDescription="Create a new document." ma:contentTypeScope="" ma:versionID="a567d814b6e077fedd0dea500beb0947">
  <xsd:schema xmlns:xsd="http://www.w3.org/2001/XMLSchema" xmlns:xs="http://www.w3.org/2001/XMLSchema" xmlns:p="http://schemas.microsoft.com/office/2006/metadata/properties" xmlns:ns3="7a75cb46-8090-48d1-80ad-919805c880fa" xmlns:ns4="a88a1c0e-7319-431c-bf03-e1c4cb3c8eae" targetNamespace="http://schemas.microsoft.com/office/2006/metadata/properties" ma:root="true" ma:fieldsID="462ff5ac7affc9cd80ea63cd6c30ba32" ns3:_="" ns4:_="">
    <xsd:import namespace="7a75cb46-8090-48d1-80ad-919805c880fa"/>
    <xsd:import namespace="a88a1c0e-7319-431c-bf03-e1c4cb3c8e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5cb46-8090-48d1-80ad-919805c88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a1c0e-7319-431c-bf03-e1c4cb3c8e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E25E52-A61C-4397-A780-290EBB12F18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a75cb46-8090-48d1-80ad-919805c880fa"/>
    <ds:schemaRef ds:uri="a88a1c0e-7319-431c-bf03-e1c4cb3c8eae"/>
  </ds:schemaRefs>
</ds:datastoreItem>
</file>

<file path=customXml/itemProps2.xml><?xml version="1.0" encoding="utf-8"?>
<ds:datastoreItem xmlns:ds="http://schemas.openxmlformats.org/officeDocument/2006/customXml" ds:itemID="{4A2C962D-E2DB-40D2-A364-903F0484AC91}">
  <ds:schemaRefs>
    <ds:schemaRef ds:uri="http://schemas.microsoft.com/office/2006/metadata/propertie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D562E553-FB30-4F5D-B3A8-65E2408F10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5e6cf0b-d5f2-4c54-83cd-6aff15ec1af8}" enabled="0" method="" siteId="{05e6cf0b-d5f2-4c54-83cd-6aff15ec1a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About the hotel</vt:lpstr>
      <vt:lpstr>Rooms Division Income Statement</vt:lpstr>
      <vt:lpstr>F&amp;B Income Statement</vt:lpstr>
      <vt:lpstr>Vertical analysis</vt:lpstr>
      <vt:lpstr>5 year projections</vt:lpstr>
      <vt:lpstr>Vertical analysis Balance Sheet</vt:lpstr>
      <vt:lpstr>Loan short term</vt:lpstr>
      <vt:lpstr>Loan long term</vt:lpstr>
      <vt:lpstr>Cash Flow</vt:lpstr>
      <vt:lpstr>Horizontal Analysis Balance She</vt:lpstr>
      <vt:lpstr>Ratio</vt:lpstr>
      <vt:lpstr>Budget</vt:lpstr>
      <vt:lpstr>WACC</vt:lpstr>
      <vt:lpstr>References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Rosa Gonzalez Vicente</dc:creator>
  <cp:keywords/>
  <dc:description/>
  <cp:lastModifiedBy>User</cp:lastModifiedBy>
  <cp:revision/>
  <dcterms:created xsi:type="dcterms:W3CDTF">2020-03-23T16:17:44Z</dcterms:created>
  <dcterms:modified xsi:type="dcterms:W3CDTF">2024-11-25T18:24:55Z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0x010100885FD62B6C3F1C489EF4C12E37960BEB</vt:lpwstr>
  </property>
</Properties>
</file>